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20" yWindow="-120" windowWidth="20730" windowHeight="11040" firstSheet="3" activeTab="5"/>
  </bookViews>
  <sheets>
    <sheet name="foxz" sheetId="23" state="veryHidden" r:id="rId1"/>
    <sheet name="SGV" sheetId="25" state="veryHidden" r:id="rId2"/>
    <sheet name="PL1.DTTS" sheetId="22" state="hidden" r:id="rId3"/>
    <sheet name="PL 2 GNBV" sheetId="20" r:id="rId4"/>
    <sheet name="PL 3 NTM" sheetId="21" r:id="rId5"/>
    <sheet name="Tong hop chung " sheetId="24" r:id="rId6"/>
    <sheet name="Sheet1" sheetId="26" state="hidden" r:id="rId7"/>
  </sheets>
  <definedNames>
    <definedName name="_xlnm._FilterDatabase" localSheetId="3" hidden="1">'PL 2 GNBV'!$A$6:$AA$71</definedName>
    <definedName name="_xlnm._FilterDatabase" localSheetId="4" hidden="1">'PL 3 NTM'!$B$7:$AQ$30</definedName>
    <definedName name="_xlnm._FilterDatabase" localSheetId="2" hidden="1">PL1.DTTS!$A$6:$AA$25</definedName>
    <definedName name="_xlnm.Print_Area" localSheetId="3">'PL 2 GNBV'!$A$1:$AA$72</definedName>
    <definedName name="_xlnm.Print_Area" localSheetId="4">'PL 3 NTM'!$A$1:$AQ$32</definedName>
    <definedName name="_xlnm.Print_Area" localSheetId="2">PL1.DTTS!$A$1:$AA$25</definedName>
    <definedName name="_xlnm.Print_Titles" localSheetId="3">'PL 2 GNBV'!$5:$5</definedName>
    <definedName name="_xlnm.Print_Titles" localSheetId="4">'PL 3 NTM'!$5:$7</definedName>
    <definedName name="_xlnm.Print_Titles" localSheetId="2">PL1.DTTS!$4:$5</definedName>
  </definedNames>
  <calcPr calcId="144525"/>
</workbook>
</file>

<file path=xl/calcChain.xml><?xml version="1.0" encoding="utf-8"?>
<calcChain xmlns="http://schemas.openxmlformats.org/spreadsheetml/2006/main">
  <c r="Z32" i="20" l="1"/>
  <c r="Z21" i="20"/>
  <c r="Y21" i="20"/>
  <c r="Y20" i="20"/>
  <c r="Y26" i="20" l="1"/>
  <c r="Y27" i="20"/>
  <c r="Z27" i="20"/>
  <c r="Y37" i="20"/>
  <c r="Z37" i="20"/>
  <c r="V53" i="20" l="1"/>
  <c r="V57" i="20"/>
  <c r="V61" i="20"/>
  <c r="V50" i="20"/>
  <c r="V46" i="20"/>
  <c r="AD14" i="21"/>
  <c r="AB14" i="21" s="1"/>
  <c r="AE25" i="21"/>
  <c r="AD25" i="21" s="1"/>
  <c r="Z10" i="20" l="1"/>
  <c r="Y10" i="20"/>
  <c r="X10" i="20" s="1"/>
  <c r="AI22" i="21"/>
  <c r="AG22" i="21" s="1"/>
  <c r="AM21" i="21"/>
  <c r="AF19" i="21"/>
  <c r="AE19" i="21"/>
  <c r="AC19" i="21"/>
  <c r="AM19" i="21" s="1"/>
  <c r="Y19" i="21"/>
  <c r="W19" i="21" s="1"/>
  <c r="AM26" i="21"/>
  <c r="AP26" i="21"/>
  <c r="AO26" i="21"/>
  <c r="F18" i="20"/>
  <c r="F15" i="20"/>
  <c r="F12" i="20"/>
  <c r="W11" i="21"/>
  <c r="Y11" i="21"/>
  <c r="S12" i="21"/>
  <c r="U12" i="21"/>
  <c r="V12" i="21"/>
  <c r="Y61" i="20"/>
  <c r="T28" i="24"/>
  <c r="Y29" i="20"/>
  <c r="Z29" i="20"/>
  <c r="Z26" i="20"/>
  <c r="Z20" i="20"/>
  <c r="Y8" i="20"/>
  <c r="X8" i="20" s="1"/>
  <c r="Y15" i="21"/>
  <c r="W31" i="21"/>
  <c r="X31" i="21"/>
  <c r="Y31" i="21"/>
  <c r="Z31" i="21"/>
  <c r="AA31" i="21"/>
  <c r="AB31" i="21"/>
  <c r="AC31" i="21"/>
  <c r="AD31" i="21"/>
  <c r="AE31" i="21"/>
  <c r="AF31" i="21"/>
  <c r="AH31" i="21"/>
  <c r="AJ31" i="21"/>
  <c r="AK31" i="21"/>
  <c r="AM32" i="21"/>
  <c r="W29" i="24" s="1"/>
  <c r="AO32" i="21"/>
  <c r="Y29" i="24" s="1"/>
  <c r="AP32" i="21"/>
  <c r="Z29" i="24" s="1"/>
  <c r="R29" i="24" s="1"/>
  <c r="AI32" i="21"/>
  <c r="AI31" i="21" s="1"/>
  <c r="Y30" i="20"/>
  <c r="Z30" i="20"/>
  <c r="Y23" i="20"/>
  <c r="Z33" i="20"/>
  <c r="Y33" i="20"/>
  <c r="C8" i="20"/>
  <c r="J23" i="20"/>
  <c r="K23" i="20"/>
  <c r="J61" i="20"/>
  <c r="K61" i="20"/>
  <c r="C15" i="21"/>
  <c r="AG32" i="21" l="1"/>
  <c r="AG31" i="21" s="1"/>
  <c r="X29" i="24"/>
  <c r="AP31" i="21"/>
  <c r="AN32" i="21"/>
  <c r="AN31" i="21" s="1"/>
  <c r="AO31" i="21"/>
  <c r="AM31" i="21"/>
  <c r="AD19" i="21"/>
  <c r="AB19" i="21" s="1"/>
  <c r="Q29" i="24"/>
  <c r="V29" i="24"/>
  <c r="AB73" i="20"/>
  <c r="AL32" i="21" l="1"/>
  <c r="Y11" i="20"/>
  <c r="Z9" i="20"/>
  <c r="Z11" i="20"/>
  <c r="V74" i="20"/>
  <c r="W74" i="20"/>
  <c r="AL31" i="21" l="1"/>
  <c r="X11" i="20"/>
  <c r="Z7" i="20"/>
  <c r="U9" i="24" s="1"/>
  <c r="H16" i="21"/>
  <c r="AB68" i="20"/>
  <c r="W68" i="20"/>
  <c r="AB64" i="20"/>
  <c r="W64" i="20"/>
  <c r="AB60" i="20"/>
  <c r="W60" i="20"/>
  <c r="AB56" i="20"/>
  <c r="W56" i="20"/>
  <c r="AB52" i="20"/>
  <c r="AB48" i="20"/>
  <c r="AB45" i="20"/>
  <c r="AB42" i="20"/>
  <c r="AB39" i="20"/>
  <c r="AB31" i="20"/>
  <c r="AB28" i="20"/>
  <c r="AB25" i="20"/>
  <c r="AB22" i="20"/>
  <c r="AB19" i="20"/>
  <c r="AB16" i="20"/>
  <c r="Z13" i="20"/>
  <c r="AB7" i="20"/>
  <c r="I15" i="20"/>
  <c r="AB13" i="20"/>
  <c r="AR29" i="21"/>
  <c r="AR23" i="21"/>
  <c r="AR18" i="21"/>
  <c r="AR13" i="21"/>
  <c r="AR10" i="21"/>
  <c r="AR31" i="21"/>
  <c r="Y14" i="20"/>
  <c r="Z17" i="20"/>
  <c r="Z36" i="20"/>
  <c r="Z38" i="20"/>
  <c r="Z40" i="20"/>
  <c r="Z41" i="20"/>
  <c r="Z43" i="20"/>
  <c r="Z44" i="20"/>
  <c r="Z46" i="20"/>
  <c r="Z47" i="20"/>
  <c r="Z49" i="20"/>
  <c r="Z50" i="20"/>
  <c r="Z51" i="20"/>
  <c r="Z53" i="20"/>
  <c r="Z54" i="20"/>
  <c r="Z55" i="20"/>
  <c r="Z57" i="20"/>
  <c r="Z58" i="20"/>
  <c r="Z59" i="20"/>
  <c r="Z61" i="20"/>
  <c r="Z62" i="20"/>
  <c r="Z63" i="20"/>
  <c r="Z65" i="20"/>
  <c r="Z66" i="20"/>
  <c r="Z67" i="20"/>
  <c r="Z69" i="20"/>
  <c r="Z70" i="20"/>
  <c r="Z71" i="20"/>
  <c r="Y36" i="20"/>
  <c r="Y38" i="20"/>
  <c r="Y40" i="20"/>
  <c r="Y41" i="20"/>
  <c r="Y43" i="20"/>
  <c r="Y44" i="20"/>
  <c r="Y46" i="20"/>
  <c r="Y47" i="20"/>
  <c r="Y49" i="20"/>
  <c r="Y50" i="20"/>
  <c r="Y51" i="20"/>
  <c r="Y53" i="20"/>
  <c r="Y54" i="20"/>
  <c r="Y55" i="20"/>
  <c r="Y57" i="20"/>
  <c r="Y58" i="20"/>
  <c r="Y59" i="20"/>
  <c r="Y62" i="20"/>
  <c r="Y63" i="20"/>
  <c r="Y65" i="20"/>
  <c r="Y66" i="20"/>
  <c r="Y67" i="20"/>
  <c r="Y69" i="20"/>
  <c r="Y70" i="20"/>
  <c r="Y71" i="20"/>
  <c r="Y9" i="20"/>
  <c r="U17" i="20"/>
  <c r="C14" i="20"/>
  <c r="Y60" i="20" l="1"/>
  <c r="X65" i="20"/>
  <c r="Z45" i="20"/>
  <c r="Z52" i="20"/>
  <c r="Z48" i="20"/>
  <c r="Z42" i="20"/>
  <c r="P29" i="24"/>
  <c r="O29" i="24" s="1"/>
  <c r="S29" i="24"/>
  <c r="Y39" i="20"/>
  <c r="Z39" i="20"/>
  <c r="Y45" i="20"/>
  <c r="Z60" i="20"/>
  <c r="Z64" i="20"/>
  <c r="U27" i="24" s="1"/>
  <c r="Y56" i="20"/>
  <c r="Y68" i="20"/>
  <c r="Z56" i="20"/>
  <c r="Y64" i="20"/>
  <c r="T27" i="24" s="1"/>
  <c r="Y48" i="20"/>
  <c r="Y42" i="20"/>
  <c r="Z68" i="20"/>
  <c r="Z35" i="20"/>
  <c r="Y52" i="20"/>
  <c r="Y35" i="20"/>
  <c r="AR9" i="21"/>
  <c r="Y17" i="20"/>
  <c r="AD21" i="21"/>
  <c r="AB21" i="21" s="1"/>
  <c r="AR8" i="21" l="1"/>
  <c r="U16" i="21"/>
  <c r="U17" i="21"/>
  <c r="U14" i="21"/>
  <c r="S14" i="21"/>
  <c r="D13" i="21"/>
  <c r="F13" i="21"/>
  <c r="G13" i="21"/>
  <c r="K19" i="21"/>
  <c r="Q10" i="21"/>
  <c r="S16" i="21"/>
  <c r="S17" i="21"/>
  <c r="S20" i="21"/>
  <c r="S21" i="21"/>
  <c r="S22" i="21"/>
  <c r="S24" i="21"/>
  <c r="S25" i="21"/>
  <c r="S26" i="21"/>
  <c r="S27" i="21"/>
  <c r="S28" i="21"/>
  <c r="S30" i="21"/>
  <c r="S29" i="21" s="1"/>
  <c r="K13" i="24" s="1"/>
  <c r="D13" i="24" s="1"/>
  <c r="S32" i="21"/>
  <c r="S11" i="21"/>
  <c r="T12" i="21"/>
  <c r="V14" i="21"/>
  <c r="V16" i="21"/>
  <c r="T16" i="21" s="1"/>
  <c r="V17" i="21"/>
  <c r="V20" i="21"/>
  <c r="V21" i="21"/>
  <c r="V22" i="21"/>
  <c r="V24" i="21"/>
  <c r="V25" i="21"/>
  <c r="V26" i="21"/>
  <c r="V27" i="21"/>
  <c r="V28" i="21"/>
  <c r="V30" i="21"/>
  <c r="V29" i="21" s="1"/>
  <c r="N13" i="24" s="1"/>
  <c r="F13" i="24" s="1"/>
  <c r="V32" i="21"/>
  <c r="V31" i="21" s="1"/>
  <c r="U20" i="21"/>
  <c r="U21" i="21"/>
  <c r="T21" i="21" s="1"/>
  <c r="U22" i="21"/>
  <c r="T22" i="21" s="1"/>
  <c r="U24" i="21"/>
  <c r="U25" i="21"/>
  <c r="U26" i="21"/>
  <c r="T26" i="21" s="1"/>
  <c r="U27" i="21"/>
  <c r="U28" i="21"/>
  <c r="T28" i="21" s="1"/>
  <c r="U30" i="21"/>
  <c r="U29" i="21" s="1"/>
  <c r="M13" i="24" s="1"/>
  <c r="U32" i="21"/>
  <c r="N19" i="21"/>
  <c r="N18" i="21" s="1"/>
  <c r="Q19" i="21"/>
  <c r="P19" i="21"/>
  <c r="K18" i="21"/>
  <c r="P18" i="21"/>
  <c r="Q18" i="21"/>
  <c r="AM11" i="21"/>
  <c r="AM12" i="21"/>
  <c r="AO11" i="21"/>
  <c r="AO12" i="21"/>
  <c r="AP11" i="21"/>
  <c r="AP12" i="21"/>
  <c r="AM14" i="21"/>
  <c r="AM15" i="21"/>
  <c r="AM16" i="21"/>
  <c r="AO14" i="21"/>
  <c r="AO15" i="21"/>
  <c r="AO16" i="21"/>
  <c r="AP14" i="21"/>
  <c r="AP15" i="21"/>
  <c r="AP16" i="21"/>
  <c r="AM20" i="21"/>
  <c r="AO19" i="21"/>
  <c r="AO20" i="21"/>
  <c r="AO21" i="21"/>
  <c r="AP19" i="21"/>
  <c r="AP20" i="21"/>
  <c r="AP21" i="21"/>
  <c r="AM24" i="21"/>
  <c r="AM25" i="21"/>
  <c r="AM27" i="21"/>
  <c r="AM28" i="21"/>
  <c r="AO24" i="21"/>
  <c r="AO25" i="21"/>
  <c r="AN26" i="21"/>
  <c r="AL26" i="21" s="1"/>
  <c r="AO27" i="21"/>
  <c r="AO28" i="21"/>
  <c r="AP24" i="21"/>
  <c r="AP25" i="21"/>
  <c r="AP27" i="21"/>
  <c r="AN27" i="21" s="1"/>
  <c r="AP28" i="21"/>
  <c r="AM30" i="21"/>
  <c r="AO30" i="21"/>
  <c r="AO29" i="21" s="1"/>
  <c r="AP30" i="21"/>
  <c r="Z13" i="24" s="1"/>
  <c r="R13" i="24" s="1"/>
  <c r="U11" i="21"/>
  <c r="V11" i="21"/>
  <c r="I15" i="21"/>
  <c r="J15" i="21"/>
  <c r="K15" i="21" s="1"/>
  <c r="V15" i="21"/>
  <c r="I19" i="21"/>
  <c r="L19" i="21"/>
  <c r="V19" i="21" s="1"/>
  <c r="J20" i="21"/>
  <c r="O20" i="21"/>
  <c r="M20" i="21" s="1"/>
  <c r="J21" i="21"/>
  <c r="H21" i="21" s="1"/>
  <c r="O21" i="21"/>
  <c r="M21" i="21" s="1"/>
  <c r="O22" i="21"/>
  <c r="M22" i="21" s="1"/>
  <c r="E19" i="21"/>
  <c r="E18" i="21" s="1"/>
  <c r="D10" i="21"/>
  <c r="D18" i="21"/>
  <c r="D23" i="21"/>
  <c r="D29" i="21"/>
  <c r="E12" i="21"/>
  <c r="E16" i="21"/>
  <c r="E13" i="21" s="1"/>
  <c r="E23" i="21"/>
  <c r="E29" i="21"/>
  <c r="F10" i="21"/>
  <c r="F18" i="21"/>
  <c r="F23" i="21"/>
  <c r="F29" i="21"/>
  <c r="G10" i="21"/>
  <c r="G18" i="21"/>
  <c r="G23" i="21"/>
  <c r="G29" i="21"/>
  <c r="H20" i="21"/>
  <c r="H12" i="21"/>
  <c r="H10" i="21" s="1"/>
  <c r="J14" i="21"/>
  <c r="J13" i="21" s="1"/>
  <c r="H25" i="21"/>
  <c r="J27" i="21"/>
  <c r="H27" i="21" s="1"/>
  <c r="H29" i="21"/>
  <c r="I10" i="21"/>
  <c r="I23" i="21"/>
  <c r="I29" i="21"/>
  <c r="J10" i="21"/>
  <c r="J29" i="21"/>
  <c r="K10" i="21"/>
  <c r="K23" i="21"/>
  <c r="K29" i="21"/>
  <c r="L10" i="21"/>
  <c r="L23" i="21"/>
  <c r="L29" i="21"/>
  <c r="O10" i="21"/>
  <c r="M16" i="21"/>
  <c r="O17" i="21"/>
  <c r="O13" i="21" s="1"/>
  <c r="M24" i="21"/>
  <c r="M26" i="21"/>
  <c r="M28" i="21"/>
  <c r="O30" i="21"/>
  <c r="M30" i="21" s="1"/>
  <c r="M29" i="21" s="1"/>
  <c r="O32" i="21"/>
  <c r="N10" i="21"/>
  <c r="N13" i="21"/>
  <c r="N23" i="21"/>
  <c r="N29" i="21"/>
  <c r="N31" i="21"/>
  <c r="O23" i="21"/>
  <c r="P10" i="21"/>
  <c r="P13" i="21"/>
  <c r="P23" i="21"/>
  <c r="P29" i="21"/>
  <c r="P31" i="21"/>
  <c r="Q13" i="21"/>
  <c r="Q23" i="21"/>
  <c r="Q29" i="21"/>
  <c r="Q31" i="21"/>
  <c r="Y12" i="21"/>
  <c r="Y14" i="21"/>
  <c r="W14" i="21" s="1"/>
  <c r="W15" i="21"/>
  <c r="Y16" i="21"/>
  <c r="W16" i="21" s="1"/>
  <c r="Y24" i="21"/>
  <c r="W24" i="21" s="1"/>
  <c r="Y25" i="21"/>
  <c r="W25" i="21" s="1"/>
  <c r="Y26" i="21"/>
  <c r="W26" i="21" s="1"/>
  <c r="Y27" i="21"/>
  <c r="W27" i="21" s="1"/>
  <c r="Y28" i="21"/>
  <c r="W28" i="21" s="1"/>
  <c r="Y30" i="21"/>
  <c r="W30" i="21" s="1"/>
  <c r="W29" i="21" s="1"/>
  <c r="X10" i="21"/>
  <c r="X13" i="21"/>
  <c r="X18" i="21"/>
  <c r="X23" i="21"/>
  <c r="X29" i="21"/>
  <c r="Y18" i="21"/>
  <c r="Z10" i="21"/>
  <c r="Z13" i="21"/>
  <c r="Z18" i="21"/>
  <c r="Z23" i="21"/>
  <c r="Z29" i="21"/>
  <c r="AA10" i="21"/>
  <c r="AA13" i="21"/>
  <c r="AA18" i="21"/>
  <c r="AA23" i="21"/>
  <c r="AA29" i="21"/>
  <c r="AD11" i="21"/>
  <c r="AB11" i="21" s="1"/>
  <c r="AD12" i="21"/>
  <c r="AD15" i="21"/>
  <c r="AD16" i="21"/>
  <c r="AB16" i="21" s="1"/>
  <c r="AD20" i="21"/>
  <c r="AB20" i="21" s="1"/>
  <c r="AB18" i="21" s="1"/>
  <c r="AD24" i="21"/>
  <c r="AB24" i="21" s="1"/>
  <c r="AB25" i="21"/>
  <c r="AD26" i="21"/>
  <c r="AB26" i="21" s="1"/>
  <c r="AD28" i="21"/>
  <c r="AB28" i="21" s="1"/>
  <c r="AB30" i="21"/>
  <c r="AB29" i="21" s="1"/>
  <c r="AC10" i="21"/>
  <c r="AC13" i="21"/>
  <c r="AC18" i="21"/>
  <c r="AC23" i="21"/>
  <c r="AC29" i="21"/>
  <c r="AD29" i="21"/>
  <c r="AE10" i="21"/>
  <c r="AE13" i="21"/>
  <c r="AE18" i="21"/>
  <c r="AE23" i="21"/>
  <c r="AE29" i="21"/>
  <c r="AF10" i="21"/>
  <c r="AF13" i="21"/>
  <c r="AF18" i="21"/>
  <c r="AF23" i="21"/>
  <c r="AF29" i="21"/>
  <c r="AI11" i="21"/>
  <c r="AG11" i="21" s="1"/>
  <c r="AI12" i="21"/>
  <c r="AG12" i="21" s="1"/>
  <c r="AI14" i="21"/>
  <c r="AG14" i="21" s="1"/>
  <c r="AI15" i="21"/>
  <c r="AG15" i="21" s="1"/>
  <c r="AI16" i="21"/>
  <c r="AG16" i="21" s="1"/>
  <c r="AI19" i="21"/>
  <c r="AI20" i="21"/>
  <c r="AG20" i="21" s="1"/>
  <c r="AI21" i="21"/>
  <c r="AG21" i="21" s="1"/>
  <c r="AI24" i="21"/>
  <c r="AG24" i="21" s="1"/>
  <c r="AI25" i="21"/>
  <c r="AI26" i="21"/>
  <c r="AG26" i="21" s="1"/>
  <c r="AI27" i="21"/>
  <c r="AG27" i="21" s="1"/>
  <c r="AI28" i="21"/>
  <c r="AG28" i="21" s="1"/>
  <c r="AG30" i="21"/>
  <c r="AG29" i="21" s="1"/>
  <c r="AH10" i="21"/>
  <c r="AH13" i="21"/>
  <c r="AH18" i="21"/>
  <c r="AH23" i="21"/>
  <c r="AH29" i="21"/>
  <c r="AI29" i="21"/>
  <c r="AJ10" i="21"/>
  <c r="AJ13" i="21"/>
  <c r="AJ18" i="21"/>
  <c r="AJ23" i="21"/>
  <c r="AJ29" i="21"/>
  <c r="AK10" i="21"/>
  <c r="AK13" i="21"/>
  <c r="AK18" i="21"/>
  <c r="AK23" i="21"/>
  <c r="AK29" i="21"/>
  <c r="AN24" i="21"/>
  <c r="AN30" i="21"/>
  <c r="AN29" i="21" s="1"/>
  <c r="AP29" i="21"/>
  <c r="C14" i="21"/>
  <c r="C16" i="21"/>
  <c r="C23" i="21"/>
  <c r="C29" i="21"/>
  <c r="M12" i="20"/>
  <c r="N12" i="20"/>
  <c r="M8" i="20"/>
  <c r="N8" i="20"/>
  <c r="M9" i="20"/>
  <c r="N9" i="20"/>
  <c r="H10" i="20"/>
  <c r="G10" i="20" s="1"/>
  <c r="H11" i="20"/>
  <c r="G11" i="20" s="1"/>
  <c r="M11" i="20" s="1"/>
  <c r="M15" i="20"/>
  <c r="H14" i="20"/>
  <c r="G14" i="20" s="1"/>
  <c r="M17" i="20"/>
  <c r="N17" i="20"/>
  <c r="M18" i="20"/>
  <c r="N18" i="20"/>
  <c r="H20" i="20"/>
  <c r="G20" i="20" s="1"/>
  <c r="J20" i="20"/>
  <c r="J19" i="20" s="1"/>
  <c r="K20" i="20"/>
  <c r="H21" i="20"/>
  <c r="N21" i="20" s="1"/>
  <c r="H23" i="20"/>
  <c r="J22" i="20"/>
  <c r="H24" i="20"/>
  <c r="N24" i="20" s="1"/>
  <c r="H26" i="20"/>
  <c r="G26" i="20" s="1"/>
  <c r="H27" i="20"/>
  <c r="N27" i="20" s="1"/>
  <c r="H29" i="20"/>
  <c r="J29" i="20"/>
  <c r="J28" i="20" s="1"/>
  <c r="K29" i="20"/>
  <c r="K28" i="20" s="1"/>
  <c r="H30" i="20"/>
  <c r="N30" i="20" s="1"/>
  <c r="H32" i="20"/>
  <c r="G32" i="20" s="1"/>
  <c r="M32" i="20" s="1"/>
  <c r="H33" i="20"/>
  <c r="G33" i="20" s="1"/>
  <c r="M33" i="20" s="1"/>
  <c r="H34" i="20"/>
  <c r="H36" i="20"/>
  <c r="G36" i="20" s="1"/>
  <c r="H37" i="20"/>
  <c r="G37" i="20" s="1"/>
  <c r="M37" i="20" s="1"/>
  <c r="H38" i="20"/>
  <c r="G38" i="20" s="1"/>
  <c r="M38" i="20" s="1"/>
  <c r="H40" i="20"/>
  <c r="G40" i="20" s="1"/>
  <c r="M40" i="20" s="1"/>
  <c r="H41" i="20"/>
  <c r="N41" i="20" s="1"/>
  <c r="H43" i="20"/>
  <c r="J43" i="20"/>
  <c r="J42" i="20" s="1"/>
  <c r="K43" i="20"/>
  <c r="K42" i="20" s="1"/>
  <c r="H44" i="20"/>
  <c r="N44" i="20" s="1"/>
  <c r="H46" i="20"/>
  <c r="G46" i="20" s="1"/>
  <c r="M46" i="20" s="1"/>
  <c r="H47" i="20"/>
  <c r="N47" i="20" s="1"/>
  <c r="H49" i="20"/>
  <c r="J49" i="20"/>
  <c r="J48" i="20" s="1"/>
  <c r="K49" i="20"/>
  <c r="K48" i="20" s="1"/>
  <c r="H50" i="20"/>
  <c r="N50" i="20" s="1"/>
  <c r="H51" i="20"/>
  <c r="G51" i="20" s="1"/>
  <c r="M51" i="20" s="1"/>
  <c r="H53" i="20"/>
  <c r="G53" i="20" s="1"/>
  <c r="M53" i="20" s="1"/>
  <c r="H54" i="20"/>
  <c r="H55" i="20"/>
  <c r="G55" i="20" s="1"/>
  <c r="M55" i="20" s="1"/>
  <c r="H57" i="20"/>
  <c r="G57" i="20" s="1"/>
  <c r="J57" i="20"/>
  <c r="K57" i="20"/>
  <c r="H58" i="20"/>
  <c r="G58" i="20" s="1"/>
  <c r="M58" i="20" s="1"/>
  <c r="H59" i="20"/>
  <c r="G59" i="20" s="1"/>
  <c r="M59" i="20" s="1"/>
  <c r="H61" i="20"/>
  <c r="J60" i="20"/>
  <c r="H62" i="20"/>
  <c r="H63" i="20"/>
  <c r="G63" i="20" s="1"/>
  <c r="M63" i="20" s="1"/>
  <c r="H65" i="20"/>
  <c r="G65" i="20" s="1"/>
  <c r="J65" i="20"/>
  <c r="K65" i="20"/>
  <c r="H66" i="20"/>
  <c r="G66" i="20" s="1"/>
  <c r="M66" i="20" s="1"/>
  <c r="H67" i="20"/>
  <c r="G67" i="20" s="1"/>
  <c r="M67" i="20" s="1"/>
  <c r="H69" i="20"/>
  <c r="H70" i="20"/>
  <c r="G70" i="20" s="1"/>
  <c r="M70" i="20" s="1"/>
  <c r="H71" i="20"/>
  <c r="G71" i="20" s="1"/>
  <c r="M71" i="20" s="1"/>
  <c r="C32" i="20"/>
  <c r="C31" i="20" s="1"/>
  <c r="D31" i="20"/>
  <c r="D7" i="20"/>
  <c r="D13" i="20"/>
  <c r="D16" i="20"/>
  <c r="D19" i="20"/>
  <c r="D22" i="20"/>
  <c r="D25" i="20"/>
  <c r="D28" i="20"/>
  <c r="D35" i="20"/>
  <c r="D39" i="20"/>
  <c r="D42" i="20"/>
  <c r="D45" i="20"/>
  <c r="D48" i="20"/>
  <c r="D52" i="20"/>
  <c r="D56" i="20"/>
  <c r="D60" i="20"/>
  <c r="D64" i="20"/>
  <c r="D68" i="20"/>
  <c r="E31" i="20"/>
  <c r="E7" i="20"/>
  <c r="E13" i="20"/>
  <c r="E16" i="20"/>
  <c r="E19" i="20"/>
  <c r="E22" i="20"/>
  <c r="E25" i="20"/>
  <c r="E28" i="20"/>
  <c r="E35" i="20"/>
  <c r="E39" i="20"/>
  <c r="E42" i="20"/>
  <c r="E45" i="20"/>
  <c r="E48" i="20"/>
  <c r="E52" i="20"/>
  <c r="E56" i="20"/>
  <c r="E60" i="20"/>
  <c r="E64" i="20"/>
  <c r="E68" i="20"/>
  <c r="F31" i="20"/>
  <c r="F48" i="20"/>
  <c r="F8" i="20"/>
  <c r="F7" i="20" s="1"/>
  <c r="F13" i="20"/>
  <c r="F16" i="20"/>
  <c r="F19" i="20"/>
  <c r="F22" i="20"/>
  <c r="F25" i="20"/>
  <c r="F28" i="20"/>
  <c r="F35" i="20"/>
  <c r="F39" i="20"/>
  <c r="F42" i="20"/>
  <c r="F45" i="20"/>
  <c r="F52" i="20"/>
  <c r="F56" i="20"/>
  <c r="F60" i="20"/>
  <c r="F64" i="20"/>
  <c r="F68" i="20"/>
  <c r="G16" i="20"/>
  <c r="H16" i="20"/>
  <c r="I50" i="20"/>
  <c r="I51" i="20"/>
  <c r="I21" i="20"/>
  <c r="I24" i="20"/>
  <c r="I30" i="20"/>
  <c r="I44" i="20"/>
  <c r="I58" i="20"/>
  <c r="I59" i="20"/>
  <c r="I62" i="20"/>
  <c r="I63" i="20"/>
  <c r="I66" i="20"/>
  <c r="I67" i="20"/>
  <c r="I12" i="20"/>
  <c r="I9" i="20"/>
  <c r="I10" i="20"/>
  <c r="I11" i="20"/>
  <c r="I14" i="20"/>
  <c r="I13" i="20" s="1"/>
  <c r="I17" i="20"/>
  <c r="I18" i="20"/>
  <c r="I26" i="20"/>
  <c r="I27" i="20"/>
  <c r="I32" i="20"/>
  <c r="I33" i="20"/>
  <c r="I34" i="20"/>
  <c r="I36" i="20"/>
  <c r="I38" i="20"/>
  <c r="I40" i="20"/>
  <c r="I41" i="20"/>
  <c r="I46" i="20"/>
  <c r="I47" i="20"/>
  <c r="I53" i="20"/>
  <c r="I54" i="20"/>
  <c r="I55" i="20"/>
  <c r="I69" i="20"/>
  <c r="I71" i="20"/>
  <c r="J7" i="20"/>
  <c r="J13" i="20"/>
  <c r="J16" i="20"/>
  <c r="J25" i="20"/>
  <c r="J31" i="20"/>
  <c r="J35" i="20"/>
  <c r="J39" i="20"/>
  <c r="J45" i="20"/>
  <c r="J52" i="20"/>
  <c r="J68" i="20"/>
  <c r="K64" i="20"/>
  <c r="K7" i="20"/>
  <c r="K13" i="20"/>
  <c r="K16" i="20"/>
  <c r="K25" i="20"/>
  <c r="K31" i="20"/>
  <c r="K35" i="20"/>
  <c r="K39" i="20"/>
  <c r="K45" i="20"/>
  <c r="K52" i="20"/>
  <c r="K68" i="20"/>
  <c r="C12" i="20"/>
  <c r="C7" i="20" s="1"/>
  <c r="C13" i="20"/>
  <c r="C16" i="20"/>
  <c r="C19" i="20"/>
  <c r="C22" i="20"/>
  <c r="C25" i="20"/>
  <c r="C28" i="20"/>
  <c r="C35" i="20"/>
  <c r="C39" i="20"/>
  <c r="C42" i="20"/>
  <c r="C45" i="20"/>
  <c r="C50" i="20"/>
  <c r="C48" i="20" s="1"/>
  <c r="C52" i="20"/>
  <c r="C56" i="20"/>
  <c r="C60" i="20"/>
  <c r="C65" i="20"/>
  <c r="C64" i="20" s="1"/>
  <c r="C68" i="20"/>
  <c r="U28" i="24"/>
  <c r="Q28" i="24" s="1"/>
  <c r="P28" i="24"/>
  <c r="U26" i="24"/>
  <c r="Q26" i="24" s="1"/>
  <c r="T26" i="24"/>
  <c r="T23" i="24"/>
  <c r="U22" i="24"/>
  <c r="Q22" i="24" s="1"/>
  <c r="T22" i="24"/>
  <c r="P22" i="24" s="1"/>
  <c r="U21" i="24"/>
  <c r="Q21" i="24" s="1"/>
  <c r="T21" i="24"/>
  <c r="U20" i="24"/>
  <c r="Q20" i="24" s="1"/>
  <c r="T20" i="24"/>
  <c r="U19" i="24"/>
  <c r="Q19" i="24" s="1"/>
  <c r="T19" i="24"/>
  <c r="Z34" i="20"/>
  <c r="Z31" i="20" s="1"/>
  <c r="Y34" i="20"/>
  <c r="Y31" i="20" s="1"/>
  <c r="T18" i="24" s="1"/>
  <c r="P18" i="24" s="1"/>
  <c r="Z28" i="20"/>
  <c r="U17" i="24" s="1"/>
  <c r="Y28" i="20"/>
  <c r="T17" i="24" s="1"/>
  <c r="P17" i="24" s="1"/>
  <c r="Z25" i="20"/>
  <c r="U16" i="24" s="1"/>
  <c r="Y25" i="20"/>
  <c r="T16" i="24" s="1"/>
  <c r="P16" i="24" s="1"/>
  <c r="Z22" i="20"/>
  <c r="U15" i="24" s="1"/>
  <c r="Q15" i="24" s="1"/>
  <c r="Y22" i="20"/>
  <c r="T15" i="24" s="1"/>
  <c r="Z19" i="20"/>
  <c r="U14" i="24" s="1"/>
  <c r="Y19" i="20"/>
  <c r="T14" i="24" s="1"/>
  <c r="P14" i="24" s="1"/>
  <c r="X9" i="20"/>
  <c r="X12" i="20"/>
  <c r="X14" i="20"/>
  <c r="X15" i="20"/>
  <c r="X17" i="20"/>
  <c r="X18" i="20"/>
  <c r="X20" i="20"/>
  <c r="X21" i="20"/>
  <c r="X23" i="20"/>
  <c r="X24" i="20"/>
  <c r="X26" i="20"/>
  <c r="X27" i="20"/>
  <c r="X29" i="20"/>
  <c r="X30" i="20"/>
  <c r="X32" i="20"/>
  <c r="X33" i="20"/>
  <c r="X36" i="20"/>
  <c r="X37" i="20"/>
  <c r="X38" i="20"/>
  <c r="X40" i="20"/>
  <c r="X41" i="20"/>
  <c r="X43" i="20"/>
  <c r="X44" i="20"/>
  <c r="X46" i="20"/>
  <c r="X47" i="20"/>
  <c r="X49" i="20"/>
  <c r="X50" i="20"/>
  <c r="X51" i="20"/>
  <c r="X53" i="20"/>
  <c r="X54" i="20"/>
  <c r="X55" i="20"/>
  <c r="X57" i="20"/>
  <c r="X58" i="20"/>
  <c r="X59" i="20"/>
  <c r="X61" i="20"/>
  <c r="X62" i="20"/>
  <c r="X63" i="20"/>
  <c r="X66" i="20"/>
  <c r="X67" i="20"/>
  <c r="X69" i="20"/>
  <c r="X70" i="20"/>
  <c r="X71" i="20"/>
  <c r="S12" i="24"/>
  <c r="S13" i="24"/>
  <c r="G12" i="24"/>
  <c r="G13" i="24"/>
  <c r="J14" i="24"/>
  <c r="J15" i="24"/>
  <c r="J16" i="24"/>
  <c r="J17" i="24"/>
  <c r="J18" i="24"/>
  <c r="J19" i="24"/>
  <c r="J20" i="24"/>
  <c r="J21" i="24"/>
  <c r="J22" i="24"/>
  <c r="J23" i="24"/>
  <c r="J24" i="24"/>
  <c r="J25" i="24"/>
  <c r="J26" i="24"/>
  <c r="J27" i="24"/>
  <c r="J28" i="24"/>
  <c r="R28" i="24"/>
  <c r="R14" i="24"/>
  <c r="R15" i="24"/>
  <c r="R16" i="24"/>
  <c r="R17" i="24"/>
  <c r="R18" i="24"/>
  <c r="R19" i="24"/>
  <c r="R20" i="24"/>
  <c r="R21" i="24"/>
  <c r="R22" i="24"/>
  <c r="R23" i="24"/>
  <c r="R24" i="24"/>
  <c r="R25" i="24"/>
  <c r="R26" i="24"/>
  <c r="P27" i="24"/>
  <c r="R27" i="24"/>
  <c r="U34" i="20"/>
  <c r="F14" i="24"/>
  <c r="F15" i="24"/>
  <c r="F16" i="24"/>
  <c r="F17" i="24"/>
  <c r="F18" i="24"/>
  <c r="F19" i="24"/>
  <c r="F20" i="24"/>
  <c r="F21" i="24"/>
  <c r="F22" i="24"/>
  <c r="F23" i="24"/>
  <c r="F24" i="24"/>
  <c r="F25" i="24"/>
  <c r="F26" i="24"/>
  <c r="F27" i="24"/>
  <c r="F28" i="24"/>
  <c r="AR40" i="21"/>
  <c r="AR41" i="21"/>
  <c r="AR42" i="21"/>
  <c r="AR43" i="21"/>
  <c r="AR44" i="21"/>
  <c r="X14" i="24"/>
  <c r="X15" i="24"/>
  <c r="X16" i="24"/>
  <c r="V16" i="24" s="1"/>
  <c r="X17" i="24"/>
  <c r="X18" i="24"/>
  <c r="X19" i="24"/>
  <c r="V19" i="24" s="1"/>
  <c r="X20" i="24"/>
  <c r="V20" i="24" s="1"/>
  <c r="X21" i="24"/>
  <c r="V21" i="24" s="1"/>
  <c r="X22" i="24"/>
  <c r="V22" i="24" s="1"/>
  <c r="X23" i="24"/>
  <c r="V23" i="24" s="1"/>
  <c r="X24" i="24"/>
  <c r="V24" i="24" s="1"/>
  <c r="X25" i="24"/>
  <c r="V25" i="24" s="1"/>
  <c r="X26" i="24"/>
  <c r="X27" i="24"/>
  <c r="V27" i="24" s="1"/>
  <c r="X28" i="24"/>
  <c r="V28" i="24" s="1"/>
  <c r="V14" i="24"/>
  <c r="V15" i="24"/>
  <c r="V17" i="24"/>
  <c r="V18" i="24"/>
  <c r="V26" i="24"/>
  <c r="P68" i="20"/>
  <c r="Q68" i="20"/>
  <c r="S68" i="20"/>
  <c r="T68" i="20"/>
  <c r="V68" i="20"/>
  <c r="P64" i="20"/>
  <c r="Q64" i="20"/>
  <c r="S64" i="20"/>
  <c r="T64" i="20"/>
  <c r="V64" i="20"/>
  <c r="P60" i="20"/>
  <c r="Q60" i="20"/>
  <c r="S60" i="20"/>
  <c r="T60" i="20"/>
  <c r="V60" i="20"/>
  <c r="P56" i="20"/>
  <c r="Q56" i="20"/>
  <c r="S56" i="20"/>
  <c r="T56" i="20"/>
  <c r="V56" i="20"/>
  <c r="T25" i="24" s="1"/>
  <c r="P25" i="24" s="1"/>
  <c r="P52" i="20"/>
  <c r="Q52" i="20"/>
  <c r="S52" i="20"/>
  <c r="T52" i="20"/>
  <c r="V52" i="20"/>
  <c r="T24" i="24" s="1"/>
  <c r="P24" i="24" s="1"/>
  <c r="W52" i="20"/>
  <c r="U24" i="24" s="1"/>
  <c r="P48" i="20"/>
  <c r="Q48" i="20"/>
  <c r="S48" i="20"/>
  <c r="T48" i="20"/>
  <c r="V48" i="20"/>
  <c r="W48" i="20"/>
  <c r="P45" i="20"/>
  <c r="Q45" i="20"/>
  <c r="S45" i="20"/>
  <c r="T45" i="20"/>
  <c r="V45" i="20"/>
  <c r="W45" i="20"/>
  <c r="P42" i="20"/>
  <c r="Q42" i="20"/>
  <c r="S42" i="20"/>
  <c r="T42" i="20"/>
  <c r="V42" i="20"/>
  <c r="W42" i="20"/>
  <c r="P39" i="20"/>
  <c r="Q39" i="20"/>
  <c r="S39" i="20"/>
  <c r="T39" i="20"/>
  <c r="V39" i="20"/>
  <c r="W39" i="20"/>
  <c r="P35" i="20"/>
  <c r="Q35" i="20"/>
  <c r="V35" i="20"/>
  <c r="W35" i="20"/>
  <c r="P31" i="20"/>
  <c r="Q31" i="20"/>
  <c r="S31" i="20"/>
  <c r="T31" i="20"/>
  <c r="V31" i="20"/>
  <c r="W31" i="20"/>
  <c r="P28" i="20"/>
  <c r="Q28" i="20"/>
  <c r="S28" i="20"/>
  <c r="T28" i="20"/>
  <c r="V28" i="20"/>
  <c r="W28" i="20"/>
  <c r="P25" i="20"/>
  <c r="Q25" i="20"/>
  <c r="S25" i="20"/>
  <c r="T25" i="20"/>
  <c r="V25" i="20"/>
  <c r="W25" i="20"/>
  <c r="P22" i="20"/>
  <c r="Q22" i="20"/>
  <c r="S22" i="20"/>
  <c r="T22" i="20"/>
  <c r="V22" i="20"/>
  <c r="W22" i="20"/>
  <c r="P19" i="20"/>
  <c r="Q19" i="20"/>
  <c r="S19" i="20"/>
  <c r="T19" i="20"/>
  <c r="V19" i="20"/>
  <c r="W19" i="20"/>
  <c r="P7" i="20"/>
  <c r="Q7" i="20"/>
  <c r="V7" i="20"/>
  <c r="W7" i="20"/>
  <c r="P13" i="20"/>
  <c r="Q13" i="20"/>
  <c r="S13" i="20"/>
  <c r="T13" i="20"/>
  <c r="V13" i="20"/>
  <c r="W13" i="20"/>
  <c r="Y13" i="20"/>
  <c r="T10" i="24" s="1"/>
  <c r="S10" i="24" s="1"/>
  <c r="P16" i="20"/>
  <c r="Q16" i="20"/>
  <c r="S16" i="20"/>
  <c r="T16" i="20"/>
  <c r="V16" i="20"/>
  <c r="W16" i="20"/>
  <c r="Y16" i="20"/>
  <c r="T11" i="24" s="1"/>
  <c r="Z16" i="20"/>
  <c r="U11" i="24" s="1"/>
  <c r="U14" i="20"/>
  <c r="U15" i="20"/>
  <c r="U18" i="20"/>
  <c r="U20" i="20"/>
  <c r="U21" i="20"/>
  <c r="U23" i="20"/>
  <c r="U24" i="20"/>
  <c r="U26" i="20"/>
  <c r="U27" i="20"/>
  <c r="U29" i="20"/>
  <c r="U30" i="20"/>
  <c r="U32" i="20"/>
  <c r="U33" i="20"/>
  <c r="U36" i="20"/>
  <c r="U37" i="20"/>
  <c r="U38" i="20"/>
  <c r="U40" i="20"/>
  <c r="U41" i="20"/>
  <c r="U43" i="20"/>
  <c r="U44" i="20"/>
  <c r="U46" i="20"/>
  <c r="U47" i="20"/>
  <c r="U49" i="20"/>
  <c r="U50" i="20"/>
  <c r="U51" i="20"/>
  <c r="U53" i="20"/>
  <c r="U54" i="20"/>
  <c r="U55" i="20"/>
  <c r="U57" i="20"/>
  <c r="U58" i="20"/>
  <c r="U59" i="20"/>
  <c r="U61" i="20"/>
  <c r="U62" i="20"/>
  <c r="U63" i="20"/>
  <c r="U65" i="20"/>
  <c r="U74" i="20" s="1"/>
  <c r="U66" i="20"/>
  <c r="U67" i="20"/>
  <c r="U69" i="20"/>
  <c r="U70" i="20"/>
  <c r="U71" i="20"/>
  <c r="U8" i="20"/>
  <c r="U9" i="20"/>
  <c r="U10" i="20"/>
  <c r="U11" i="20"/>
  <c r="U12" i="20"/>
  <c r="R14" i="20"/>
  <c r="R15" i="20"/>
  <c r="R17" i="20"/>
  <c r="R18" i="20"/>
  <c r="R20" i="20"/>
  <c r="R21" i="20"/>
  <c r="R23" i="20"/>
  <c r="R24" i="20"/>
  <c r="R26" i="20"/>
  <c r="R27" i="20"/>
  <c r="R29" i="20"/>
  <c r="R30" i="20"/>
  <c r="R32" i="20"/>
  <c r="R33" i="20"/>
  <c r="R34" i="20"/>
  <c r="R36" i="20"/>
  <c r="R38" i="20"/>
  <c r="R40" i="20"/>
  <c r="R41" i="20"/>
  <c r="R43" i="20"/>
  <c r="R44" i="20"/>
  <c r="R46" i="20"/>
  <c r="R47" i="20"/>
  <c r="R49" i="20"/>
  <c r="R50" i="20"/>
  <c r="R51" i="20"/>
  <c r="R48" i="20" s="1"/>
  <c r="R53" i="20"/>
  <c r="R54" i="20"/>
  <c r="R55" i="20"/>
  <c r="R57" i="20"/>
  <c r="R58" i="20"/>
  <c r="R59" i="20"/>
  <c r="R61" i="20"/>
  <c r="R62" i="20"/>
  <c r="R63" i="20"/>
  <c r="R65" i="20"/>
  <c r="R66" i="20"/>
  <c r="R67" i="20"/>
  <c r="R69" i="20"/>
  <c r="R70" i="20"/>
  <c r="R71" i="20"/>
  <c r="R8" i="20"/>
  <c r="R9" i="20"/>
  <c r="R12" i="20"/>
  <c r="O8" i="20"/>
  <c r="O9" i="20"/>
  <c r="O10" i="20"/>
  <c r="O12" i="20"/>
  <c r="O14" i="20"/>
  <c r="O15" i="20"/>
  <c r="O17" i="20"/>
  <c r="O18" i="20"/>
  <c r="O20" i="20"/>
  <c r="O21" i="20"/>
  <c r="O23" i="20"/>
  <c r="O24" i="20"/>
  <c r="O26" i="20"/>
  <c r="O27" i="20"/>
  <c r="O29" i="20"/>
  <c r="O30" i="20"/>
  <c r="O32" i="20"/>
  <c r="O33" i="20"/>
  <c r="O34" i="20"/>
  <c r="O36" i="20"/>
  <c r="O37" i="20"/>
  <c r="O38" i="20"/>
  <c r="O40" i="20"/>
  <c r="O41" i="20"/>
  <c r="O43" i="20"/>
  <c r="O44" i="20"/>
  <c r="O46" i="20"/>
  <c r="O47" i="20"/>
  <c r="O45" i="20" s="1"/>
  <c r="O49" i="20"/>
  <c r="O50" i="20"/>
  <c r="O51" i="20"/>
  <c r="O53" i="20"/>
  <c r="O54" i="20"/>
  <c r="O55" i="20"/>
  <c r="O57" i="20"/>
  <c r="O58" i="20"/>
  <c r="O59" i="20"/>
  <c r="O61" i="20"/>
  <c r="O62" i="20"/>
  <c r="O63" i="20"/>
  <c r="O65" i="20"/>
  <c r="O66" i="20"/>
  <c r="O67" i="20"/>
  <c r="O69" i="20"/>
  <c r="O70" i="20"/>
  <c r="O71" i="20"/>
  <c r="A3" i="21"/>
  <c r="A3" i="24" s="1"/>
  <c r="W42" i="26"/>
  <c r="AH42" i="26"/>
  <c r="AB42" i="26"/>
  <c r="W41" i="26"/>
  <c r="AH41" i="26"/>
  <c r="AB41" i="26"/>
  <c r="W40" i="26"/>
  <c r="AH40" i="26"/>
  <c r="AB40" i="26"/>
  <c r="W39" i="26"/>
  <c r="AH39" i="26"/>
  <c r="AB39" i="26"/>
  <c r="W38" i="26"/>
  <c r="AH38" i="26"/>
  <c r="AB38" i="26"/>
  <c r="W37" i="26"/>
  <c r="AH37" i="26"/>
  <c r="AB37" i="26"/>
  <c r="W36" i="26"/>
  <c r="AH36" i="26"/>
  <c r="AB36" i="26"/>
  <c r="AB33" i="26"/>
  <c r="AH35" i="26"/>
  <c r="AH34" i="26"/>
  <c r="C33" i="26"/>
  <c r="M33" i="26"/>
  <c r="AF33" i="26"/>
  <c r="AE33" i="26"/>
  <c r="AD33" i="26"/>
  <c r="AC33" i="26"/>
  <c r="AA33" i="26"/>
  <c r="Z33" i="26"/>
  <c r="Y33" i="26"/>
  <c r="X33" i="26"/>
  <c r="V33" i="26"/>
  <c r="U33" i="26"/>
  <c r="T33" i="26"/>
  <c r="S33" i="26"/>
  <c r="R33" i="26"/>
  <c r="Q33" i="26"/>
  <c r="P33" i="26"/>
  <c r="O33" i="26"/>
  <c r="N33" i="26"/>
  <c r="L33" i="26"/>
  <c r="K33" i="26"/>
  <c r="J33" i="26"/>
  <c r="I33" i="26"/>
  <c r="H33" i="26"/>
  <c r="G33" i="26"/>
  <c r="F33" i="26"/>
  <c r="E33" i="26"/>
  <c r="D33" i="26"/>
  <c r="M32" i="26"/>
  <c r="AH32" i="26"/>
  <c r="C31" i="26"/>
  <c r="M31" i="26"/>
  <c r="W31" i="26"/>
  <c r="AH31" i="26"/>
  <c r="C30" i="26"/>
  <c r="M30" i="26"/>
  <c r="W30" i="26"/>
  <c r="AH30" i="26"/>
  <c r="AF30" i="26"/>
  <c r="AE30" i="26"/>
  <c r="AD30" i="26"/>
  <c r="AC30" i="26"/>
  <c r="AB30" i="26"/>
  <c r="AA30" i="26"/>
  <c r="Z30" i="26"/>
  <c r="Y30" i="26"/>
  <c r="X30" i="26"/>
  <c r="V30" i="26"/>
  <c r="U30" i="26"/>
  <c r="T30" i="26"/>
  <c r="S30" i="26"/>
  <c r="R30" i="26"/>
  <c r="Q30" i="26"/>
  <c r="P30" i="26"/>
  <c r="O30" i="26"/>
  <c r="N30" i="26"/>
  <c r="L30" i="26"/>
  <c r="K30" i="26"/>
  <c r="J30" i="26"/>
  <c r="I30" i="26"/>
  <c r="H30" i="26"/>
  <c r="G30" i="26"/>
  <c r="F30" i="26"/>
  <c r="E30" i="26"/>
  <c r="D30" i="26"/>
  <c r="Y29" i="26"/>
  <c r="W29" i="26"/>
  <c r="AH29" i="26"/>
  <c r="O28" i="26"/>
  <c r="M28" i="26"/>
  <c r="AH28" i="26"/>
  <c r="Y27" i="26"/>
  <c r="W27" i="26"/>
  <c r="AH27" i="26"/>
  <c r="M26" i="26"/>
  <c r="AH26" i="26"/>
  <c r="C25" i="26"/>
  <c r="AG25" i="26"/>
  <c r="AF25" i="26"/>
  <c r="AE25" i="26"/>
  <c r="AD25" i="26"/>
  <c r="AC25" i="26"/>
  <c r="AB25" i="26"/>
  <c r="AA25" i="26"/>
  <c r="Z25" i="26"/>
  <c r="Y25" i="26"/>
  <c r="X25" i="26"/>
  <c r="V25" i="26"/>
  <c r="U25" i="26"/>
  <c r="T25" i="26"/>
  <c r="S25" i="26"/>
  <c r="R25" i="26"/>
  <c r="Q25" i="26"/>
  <c r="P25" i="26"/>
  <c r="N25" i="26"/>
  <c r="L25" i="26"/>
  <c r="K25" i="26"/>
  <c r="J25" i="26"/>
  <c r="I25" i="26"/>
  <c r="H25" i="26"/>
  <c r="G25" i="26"/>
  <c r="F25" i="26"/>
  <c r="E25" i="26"/>
  <c r="D25" i="26"/>
  <c r="C24" i="26"/>
  <c r="Y24" i="26"/>
  <c r="W24" i="26"/>
  <c r="AH24" i="26"/>
  <c r="M23" i="26"/>
  <c r="W23" i="26"/>
  <c r="AF23" i="26"/>
  <c r="AE23" i="26"/>
  <c r="AD23" i="26"/>
  <c r="AC23" i="26"/>
  <c r="AB23" i="26"/>
  <c r="AA23" i="26"/>
  <c r="Z23" i="26"/>
  <c r="Y23" i="26"/>
  <c r="X23" i="26"/>
  <c r="V23" i="26"/>
  <c r="U23" i="26"/>
  <c r="T23" i="26"/>
  <c r="S23" i="26"/>
  <c r="R23" i="26"/>
  <c r="Q23" i="26"/>
  <c r="P23" i="26"/>
  <c r="O23" i="26"/>
  <c r="N23" i="26"/>
  <c r="L23" i="26"/>
  <c r="K23" i="26"/>
  <c r="J23" i="26"/>
  <c r="I23" i="26"/>
  <c r="H23" i="26"/>
  <c r="G23" i="26"/>
  <c r="F23" i="26"/>
  <c r="E23" i="26"/>
  <c r="D23" i="26"/>
  <c r="D17" i="26"/>
  <c r="D14" i="26"/>
  <c r="D21" i="26"/>
  <c r="D10" i="26"/>
  <c r="D9" i="26"/>
  <c r="C22" i="26"/>
  <c r="Y22" i="26"/>
  <c r="W22" i="26"/>
  <c r="AH22" i="26"/>
  <c r="C21" i="26"/>
  <c r="M21" i="26"/>
  <c r="W21" i="26"/>
  <c r="AH21" i="26"/>
  <c r="AF21" i="26"/>
  <c r="AE21" i="26"/>
  <c r="AD21" i="26"/>
  <c r="AC21" i="26"/>
  <c r="AB21" i="26"/>
  <c r="AA21" i="26"/>
  <c r="Z21" i="26"/>
  <c r="Y21" i="26"/>
  <c r="X21" i="26"/>
  <c r="V21" i="26"/>
  <c r="U21" i="26"/>
  <c r="T21" i="26"/>
  <c r="S21" i="26"/>
  <c r="R21" i="26"/>
  <c r="Q21" i="26"/>
  <c r="P21" i="26"/>
  <c r="O21" i="26"/>
  <c r="N21" i="26"/>
  <c r="L21" i="26"/>
  <c r="K21" i="26"/>
  <c r="J21" i="26"/>
  <c r="I21" i="26"/>
  <c r="H21" i="26"/>
  <c r="G21" i="26"/>
  <c r="F21" i="26"/>
  <c r="E21" i="26"/>
  <c r="C20" i="26"/>
  <c r="M20" i="26"/>
  <c r="AH20" i="26"/>
  <c r="M17" i="26"/>
  <c r="E19" i="26"/>
  <c r="E18" i="26"/>
  <c r="E17" i="26"/>
  <c r="E14" i="26"/>
  <c r="E10" i="26"/>
  <c r="E9" i="26"/>
  <c r="C19" i="26"/>
  <c r="AH19" i="26"/>
  <c r="O19" i="26"/>
  <c r="Q19" i="26"/>
  <c r="P19" i="26"/>
  <c r="N19" i="26"/>
  <c r="C18" i="26"/>
  <c r="AH18" i="26"/>
  <c r="O18" i="26"/>
  <c r="Q18" i="26"/>
  <c r="Q17" i="26"/>
  <c r="Q14" i="26"/>
  <c r="Q10" i="26"/>
  <c r="Q9" i="26"/>
  <c r="N18" i="26"/>
  <c r="N17" i="26"/>
  <c r="N14" i="26"/>
  <c r="N10" i="26"/>
  <c r="N9" i="26"/>
  <c r="C17" i="26"/>
  <c r="X17" i="26"/>
  <c r="Z17" i="26"/>
  <c r="AA17" i="26"/>
  <c r="Y17" i="26"/>
  <c r="AA14" i="26"/>
  <c r="AF17" i="26"/>
  <c r="AF14" i="26"/>
  <c r="AF11" i="26"/>
  <c r="AF10" i="26"/>
  <c r="AF9" i="26"/>
  <c r="AE17" i="26"/>
  <c r="AD17" i="26"/>
  <c r="AC17" i="26"/>
  <c r="AC14" i="26"/>
  <c r="AB17" i="26"/>
  <c r="AB14" i="26"/>
  <c r="AB11" i="26"/>
  <c r="AB10" i="26"/>
  <c r="AB9" i="26"/>
  <c r="V17" i="26"/>
  <c r="U17" i="26"/>
  <c r="U14" i="26"/>
  <c r="T17" i="26"/>
  <c r="T14" i="26"/>
  <c r="S17" i="26"/>
  <c r="S14" i="26"/>
  <c r="S11" i="26"/>
  <c r="S10" i="26"/>
  <c r="S9" i="26"/>
  <c r="R17" i="26"/>
  <c r="O17" i="26"/>
  <c r="O14" i="26"/>
  <c r="L17" i="26"/>
  <c r="K17" i="26"/>
  <c r="J17" i="26"/>
  <c r="I17" i="26"/>
  <c r="H17" i="26"/>
  <c r="G17" i="26"/>
  <c r="F17" i="26"/>
  <c r="C16" i="26"/>
  <c r="M16" i="26"/>
  <c r="Y16" i="26"/>
  <c r="W16" i="26"/>
  <c r="AH16" i="26"/>
  <c r="M14" i="26"/>
  <c r="C15" i="26"/>
  <c r="C14" i="26"/>
  <c r="Y15" i="26"/>
  <c r="W15" i="26"/>
  <c r="G15" i="26"/>
  <c r="G14" i="26"/>
  <c r="G10" i="26"/>
  <c r="G9" i="26"/>
  <c r="AE14" i="26"/>
  <c r="AD14" i="26"/>
  <c r="Z14" i="26"/>
  <c r="X14" i="26"/>
  <c r="V14" i="26"/>
  <c r="R14" i="26"/>
  <c r="L14" i="26"/>
  <c r="K14" i="26"/>
  <c r="J14" i="26"/>
  <c r="I14" i="26"/>
  <c r="H14" i="26"/>
  <c r="F14" i="26"/>
  <c r="C13" i="26"/>
  <c r="Y13" i="26"/>
  <c r="W13" i="26"/>
  <c r="AH13" i="26"/>
  <c r="Y12" i="26"/>
  <c r="W12" i="26"/>
  <c r="AE11" i="26"/>
  <c r="AE10" i="26"/>
  <c r="AE9" i="26"/>
  <c r="AD11" i="26"/>
  <c r="AD10" i="26"/>
  <c r="AD9" i="26"/>
  <c r="AC11" i="26"/>
  <c r="AC10" i="26"/>
  <c r="AC9" i="26"/>
  <c r="AA11" i="26"/>
  <c r="Z11" i="26"/>
  <c r="Z10" i="26"/>
  <c r="Z9" i="26"/>
  <c r="Y11" i="26"/>
  <c r="X11" i="26"/>
  <c r="V11" i="26"/>
  <c r="V10" i="26"/>
  <c r="V9" i="26"/>
  <c r="U11" i="26"/>
  <c r="U10" i="26"/>
  <c r="U9" i="26"/>
  <c r="T11" i="26"/>
  <c r="T10" i="26"/>
  <c r="T9" i="26"/>
  <c r="R11" i="26"/>
  <c r="R10" i="26"/>
  <c r="R9" i="26"/>
  <c r="L11" i="26"/>
  <c r="L10" i="26"/>
  <c r="L9" i="26"/>
  <c r="K11" i="26"/>
  <c r="K10" i="26"/>
  <c r="K9" i="26"/>
  <c r="J11" i="26"/>
  <c r="I11" i="26"/>
  <c r="I10" i="26"/>
  <c r="I9" i="26"/>
  <c r="H11" i="26"/>
  <c r="H10" i="26"/>
  <c r="H9" i="26"/>
  <c r="X10" i="26"/>
  <c r="X9" i="26"/>
  <c r="J10" i="26"/>
  <c r="J9" i="26"/>
  <c r="F10" i="26"/>
  <c r="F9" i="26"/>
  <c r="W11" i="26"/>
  <c r="AH12" i="26"/>
  <c r="M25" i="26"/>
  <c r="Y14" i="26"/>
  <c r="Y10" i="26"/>
  <c r="Y9" i="26"/>
  <c r="W17" i="26"/>
  <c r="W14" i="26"/>
  <c r="M10" i="26"/>
  <c r="M9" i="26"/>
  <c r="AH17" i="26"/>
  <c r="AA10" i="26"/>
  <c r="AA9" i="26"/>
  <c r="AH15" i="26"/>
  <c r="AH14" i="26"/>
  <c r="P18" i="26"/>
  <c r="P17" i="26"/>
  <c r="P14" i="26"/>
  <c r="P10" i="26"/>
  <c r="P9" i="26"/>
  <c r="W25" i="26"/>
  <c r="AH25" i="26"/>
  <c r="C23" i="26"/>
  <c r="AH23" i="26"/>
  <c r="AI23" i="26"/>
  <c r="W33" i="26"/>
  <c r="AH33" i="26"/>
  <c r="O25" i="26"/>
  <c r="O10" i="26"/>
  <c r="O9" i="26"/>
  <c r="W10" i="26"/>
  <c r="W9" i="26"/>
  <c r="AH11" i="26"/>
  <c r="C10" i="26"/>
  <c r="AH10" i="26"/>
  <c r="C9" i="26"/>
  <c r="AH9" i="26"/>
  <c r="AN21" i="21" l="1"/>
  <c r="AM10" i="21"/>
  <c r="W9" i="24" s="1"/>
  <c r="R16" i="21"/>
  <c r="AS16" i="21" s="1"/>
  <c r="AG10" i="21"/>
  <c r="AD18" i="21"/>
  <c r="M17" i="21"/>
  <c r="H14" i="21"/>
  <c r="H13" i="21" s="1"/>
  <c r="Y13" i="24"/>
  <c r="Q13" i="24" s="1"/>
  <c r="AN20" i="21"/>
  <c r="AN18" i="21" s="1"/>
  <c r="AN16" i="21"/>
  <c r="J19" i="21"/>
  <c r="J18" i="21" s="1"/>
  <c r="T32" i="21"/>
  <c r="U31" i="21"/>
  <c r="K29" i="24"/>
  <c r="S31" i="21"/>
  <c r="G41" i="20"/>
  <c r="M41" i="20" s="1"/>
  <c r="L41" i="20" s="1"/>
  <c r="AC41" i="20" s="1"/>
  <c r="N37" i="20"/>
  <c r="U28" i="20"/>
  <c r="U25" i="20"/>
  <c r="AN19" i="21"/>
  <c r="AL19" i="21" s="1"/>
  <c r="AJ9" i="21"/>
  <c r="AJ8" i="21" s="1"/>
  <c r="AP10" i="21"/>
  <c r="Z9" i="24" s="1"/>
  <c r="R9" i="24" s="1"/>
  <c r="U35" i="20"/>
  <c r="Y13" i="21"/>
  <c r="S11" i="24"/>
  <c r="R68" i="20"/>
  <c r="U64" i="20"/>
  <c r="U22" i="20"/>
  <c r="I45" i="20"/>
  <c r="C72" i="20"/>
  <c r="H68" i="20"/>
  <c r="J72" i="20"/>
  <c r="I39" i="20"/>
  <c r="I16" i="20"/>
  <c r="N57" i="20"/>
  <c r="R28" i="20"/>
  <c r="H13" i="20"/>
  <c r="U19" i="20"/>
  <c r="X64" i="20"/>
  <c r="X48" i="20"/>
  <c r="X42" i="20"/>
  <c r="H28" i="20"/>
  <c r="F6" i="20"/>
  <c r="N16" i="20"/>
  <c r="I11" i="24" s="1"/>
  <c r="L8" i="20"/>
  <c r="AC8" i="20" s="1"/>
  <c r="X56" i="20"/>
  <c r="X19" i="20"/>
  <c r="X60" i="20"/>
  <c r="I68" i="20"/>
  <c r="H39" i="20"/>
  <c r="O56" i="20"/>
  <c r="O39" i="20"/>
  <c r="O31" i="20"/>
  <c r="O22" i="20"/>
  <c r="O16" i="20"/>
  <c r="U52" i="20"/>
  <c r="X68" i="20"/>
  <c r="AA41" i="20"/>
  <c r="K56" i="20"/>
  <c r="I48" i="20"/>
  <c r="H19" i="20"/>
  <c r="N65" i="20"/>
  <c r="K72" i="20"/>
  <c r="I43" i="20"/>
  <c r="I42" i="20" s="1"/>
  <c r="L37" i="20"/>
  <c r="AB37" i="20" s="1"/>
  <c r="N20" i="20"/>
  <c r="N19" i="20" s="1"/>
  <c r="I14" i="24" s="1"/>
  <c r="E14" i="24" s="1"/>
  <c r="N15" i="20"/>
  <c r="L15" i="20" s="1"/>
  <c r="U25" i="24"/>
  <c r="Q25" i="24" s="1"/>
  <c r="O25" i="24" s="1"/>
  <c r="Z6" i="20"/>
  <c r="O60" i="20"/>
  <c r="O19" i="20"/>
  <c r="O7" i="20"/>
  <c r="R25" i="20"/>
  <c r="U68" i="20"/>
  <c r="U13" i="20"/>
  <c r="I35" i="20"/>
  <c r="I7" i="20"/>
  <c r="H64" i="20"/>
  <c r="N66" i="20"/>
  <c r="L66" i="20" s="1"/>
  <c r="AC66" i="20" s="1"/>
  <c r="N46" i="20"/>
  <c r="N45" i="20" s="1"/>
  <c r="I22" i="24" s="1"/>
  <c r="E22" i="24" s="1"/>
  <c r="R64" i="20"/>
  <c r="X25" i="20"/>
  <c r="I25" i="20"/>
  <c r="H45" i="20"/>
  <c r="N32" i="20"/>
  <c r="L32" i="20" s="1"/>
  <c r="AC32" i="20" s="1"/>
  <c r="R60" i="20"/>
  <c r="R56" i="20"/>
  <c r="R45" i="20"/>
  <c r="R39" i="20"/>
  <c r="N59" i="20"/>
  <c r="L59" i="20" s="1"/>
  <c r="AC59" i="20" s="1"/>
  <c r="G47" i="20"/>
  <c r="M47" i="20" s="1"/>
  <c r="L47" i="20" s="1"/>
  <c r="AC47" i="20" s="1"/>
  <c r="C19" i="21"/>
  <c r="C18" i="21" s="1"/>
  <c r="AH9" i="21"/>
  <c r="AH8" i="21" s="1"/>
  <c r="AF9" i="21"/>
  <c r="AF8" i="21" s="1"/>
  <c r="AD23" i="21"/>
  <c r="N9" i="21"/>
  <c r="N8" i="21" s="1"/>
  <c r="L18" i="21"/>
  <c r="H23" i="21"/>
  <c r="AN25" i="21"/>
  <c r="AP18" i="21"/>
  <c r="Z11" i="24" s="1"/>
  <c r="O19" i="21"/>
  <c r="T25" i="21"/>
  <c r="R25" i="21" s="1"/>
  <c r="AS25" i="21" s="1"/>
  <c r="T20" i="21"/>
  <c r="Q9" i="21"/>
  <c r="Q8" i="21" s="1"/>
  <c r="T14" i="21"/>
  <c r="AN12" i="21"/>
  <c r="AL12" i="21" s="1"/>
  <c r="AI10" i="21"/>
  <c r="AG13" i="21"/>
  <c r="AE9" i="21"/>
  <c r="AE8" i="21" s="1"/>
  <c r="AA9" i="21"/>
  <c r="AA8" i="21" s="1"/>
  <c r="Y29" i="21"/>
  <c r="P9" i="21"/>
  <c r="P8" i="21" s="1"/>
  <c r="M13" i="21"/>
  <c r="G9" i="21"/>
  <c r="G8" i="21" s="1"/>
  <c r="F9" i="21"/>
  <c r="F8" i="21" s="1"/>
  <c r="F34" i="21" s="1"/>
  <c r="V18" i="21"/>
  <c r="N11" i="24" s="1"/>
  <c r="F11" i="24" s="1"/>
  <c r="AO13" i="21"/>
  <c r="Y10" i="24" s="1"/>
  <c r="Q10" i="24" s="1"/>
  <c r="T27" i="21"/>
  <c r="R27" i="21" s="1"/>
  <c r="AS27" i="21" s="1"/>
  <c r="R26" i="21"/>
  <c r="R21" i="21"/>
  <c r="AS21" i="21" s="1"/>
  <c r="M29" i="24"/>
  <c r="AK9" i="21"/>
  <c r="AK8" i="21" s="1"/>
  <c r="AI13" i="21"/>
  <c r="Z9" i="21"/>
  <c r="Z8" i="21" s="1"/>
  <c r="X9" i="21"/>
  <c r="X8" i="21" s="1"/>
  <c r="O29" i="21"/>
  <c r="D9" i="21"/>
  <c r="D8" i="21" s="1"/>
  <c r="D34" i="21" s="1"/>
  <c r="V10" i="21"/>
  <c r="N9" i="24" s="1"/>
  <c r="AM18" i="21"/>
  <c r="W11" i="24" s="1"/>
  <c r="P11" i="24" s="1"/>
  <c r="AO10" i="21"/>
  <c r="Y9" i="24" s="1"/>
  <c r="Q9" i="24" s="1"/>
  <c r="V23" i="21"/>
  <c r="N12" i="24" s="1"/>
  <c r="F12" i="24" s="1"/>
  <c r="N29" i="24"/>
  <c r="F29" i="24" s="1"/>
  <c r="S16" i="24"/>
  <c r="X13" i="24"/>
  <c r="S27" i="24"/>
  <c r="X45" i="20"/>
  <c r="P6" i="20"/>
  <c r="AC9" i="21"/>
  <c r="AC8" i="21" s="1"/>
  <c r="AL25" i="21"/>
  <c r="AO18" i="21"/>
  <c r="Y11" i="24" s="1"/>
  <c r="Q11" i="24" s="1"/>
  <c r="W18" i="21"/>
  <c r="AL20" i="21"/>
  <c r="AB15" i="21"/>
  <c r="AB13" i="21" s="1"/>
  <c r="AD13" i="21"/>
  <c r="R14" i="21"/>
  <c r="AS14" i="21" s="1"/>
  <c r="AB23" i="21"/>
  <c r="U15" i="21"/>
  <c r="K13" i="21"/>
  <c r="K9" i="21" s="1"/>
  <c r="K8" i="21" s="1"/>
  <c r="K34" i="21" s="1"/>
  <c r="R28" i="21"/>
  <c r="AS28" i="21" s="1"/>
  <c r="C13" i="21"/>
  <c r="AL24" i="21"/>
  <c r="L13" i="24"/>
  <c r="R22" i="21"/>
  <c r="S23" i="21"/>
  <c r="K12" i="24" s="1"/>
  <c r="M32" i="21"/>
  <c r="M31" i="21" s="1"/>
  <c r="O31" i="21"/>
  <c r="AG25" i="21"/>
  <c r="AG23" i="21" s="1"/>
  <c r="AI23" i="21"/>
  <c r="AD10" i="21"/>
  <c r="AB12" i="21"/>
  <c r="AB10" i="21" s="1"/>
  <c r="M23" i="21"/>
  <c r="M10" i="21"/>
  <c r="AL30" i="21"/>
  <c r="W13" i="24"/>
  <c r="AM29" i="21"/>
  <c r="AM13" i="21"/>
  <c r="W10" i="24" s="1"/>
  <c r="R12" i="21"/>
  <c r="AS12" i="21" s="1"/>
  <c r="S10" i="21"/>
  <c r="W23" i="21"/>
  <c r="AP23" i="21"/>
  <c r="Z12" i="24" s="1"/>
  <c r="U23" i="21"/>
  <c r="M12" i="24" s="1"/>
  <c r="L12" i="24" s="1"/>
  <c r="E12" i="24" s="1"/>
  <c r="AN14" i="21"/>
  <c r="AN11" i="21"/>
  <c r="AG19" i="21"/>
  <c r="AG18" i="21" s="1"/>
  <c r="AI18" i="21"/>
  <c r="Y23" i="21"/>
  <c r="G34" i="21"/>
  <c r="I18" i="21"/>
  <c r="AN28" i="21"/>
  <c r="AL28" i="21" s="1"/>
  <c r="O18" i="21"/>
  <c r="M19" i="21"/>
  <c r="V13" i="21"/>
  <c r="N10" i="24" s="1"/>
  <c r="F10" i="24" s="1"/>
  <c r="R20" i="21"/>
  <c r="AS20" i="21" s="1"/>
  <c r="T24" i="21"/>
  <c r="U19" i="21"/>
  <c r="D29" i="24"/>
  <c r="L13" i="21"/>
  <c r="T17" i="21"/>
  <c r="R17" i="21" s="1"/>
  <c r="AS17" i="21" s="1"/>
  <c r="W13" i="21"/>
  <c r="I13" i="21"/>
  <c r="S15" i="21"/>
  <c r="W12" i="21"/>
  <c r="W10" i="21" s="1"/>
  <c r="Y10" i="21"/>
  <c r="E10" i="21"/>
  <c r="C12" i="21"/>
  <c r="U10" i="21"/>
  <c r="AM23" i="21"/>
  <c r="W12" i="24" s="1"/>
  <c r="P12" i="24" s="1"/>
  <c r="AP13" i="21"/>
  <c r="Z10" i="24" s="1"/>
  <c r="R10" i="24" s="1"/>
  <c r="AN15" i="21"/>
  <c r="AL15" i="21" s="1"/>
  <c r="AL16" i="21"/>
  <c r="S19" i="21"/>
  <c r="T11" i="21"/>
  <c r="T10" i="21" s="1"/>
  <c r="J23" i="21"/>
  <c r="AO23" i="21"/>
  <c r="Y12" i="24" s="1"/>
  <c r="R32" i="21"/>
  <c r="T30" i="21"/>
  <c r="T29" i="21" s="1"/>
  <c r="Q14" i="24"/>
  <c r="O14" i="24" s="1"/>
  <c r="S14" i="24"/>
  <c r="P21" i="24"/>
  <c r="O21" i="24" s="1"/>
  <c r="S21" i="24"/>
  <c r="M14" i="20"/>
  <c r="M13" i="20" s="1"/>
  <c r="H10" i="24" s="1"/>
  <c r="G13" i="20"/>
  <c r="S17" i="24"/>
  <c r="Q17" i="24"/>
  <c r="O17" i="24" s="1"/>
  <c r="P20" i="24"/>
  <c r="O20" i="24" s="1"/>
  <c r="S20" i="24"/>
  <c r="S24" i="24"/>
  <c r="Q24" i="24"/>
  <c r="O24" i="24" s="1"/>
  <c r="M26" i="20"/>
  <c r="O68" i="20"/>
  <c r="O64" i="20"/>
  <c r="O48" i="20"/>
  <c r="O42" i="20"/>
  <c r="O25" i="20"/>
  <c r="O13" i="20"/>
  <c r="R19" i="20"/>
  <c r="R13" i="20"/>
  <c r="U31" i="20"/>
  <c r="X39" i="20"/>
  <c r="X22" i="20"/>
  <c r="U23" i="24"/>
  <c r="Q23" i="24" s="1"/>
  <c r="I31" i="20"/>
  <c r="N71" i="20"/>
  <c r="L71" i="20" s="1"/>
  <c r="AC71" i="20" s="1"/>
  <c r="N70" i="20"/>
  <c r="L70" i="20" s="1"/>
  <c r="AC70" i="20" s="1"/>
  <c r="N67" i="20"/>
  <c r="N53" i="20"/>
  <c r="L53" i="20" s="1"/>
  <c r="N33" i="20"/>
  <c r="L33" i="20" s="1"/>
  <c r="AC33" i="20" s="1"/>
  <c r="N26" i="20"/>
  <c r="N25" i="20" s="1"/>
  <c r="I16" i="24" s="1"/>
  <c r="E16" i="24" s="1"/>
  <c r="N14" i="20"/>
  <c r="L12" i="20"/>
  <c r="O28" i="24"/>
  <c r="O52" i="20"/>
  <c r="O35" i="20"/>
  <c r="O28" i="20"/>
  <c r="R22" i="20"/>
  <c r="R16" i="20"/>
  <c r="U48" i="20"/>
  <c r="U42" i="20"/>
  <c r="X52" i="20"/>
  <c r="X13" i="20"/>
  <c r="H56" i="20"/>
  <c r="H25" i="20"/>
  <c r="H48" i="20"/>
  <c r="N55" i="20"/>
  <c r="L55" i="20" s="1"/>
  <c r="AC55" i="20" s="1"/>
  <c r="G50" i="20"/>
  <c r="M50" i="20" s="1"/>
  <c r="L50" i="20" s="1"/>
  <c r="AC50" i="20" s="1"/>
  <c r="G44" i="20"/>
  <c r="M44" i="20" s="1"/>
  <c r="L44" i="20" s="1"/>
  <c r="AC44" i="20" s="1"/>
  <c r="N40" i="20"/>
  <c r="N39" i="20" s="1"/>
  <c r="I20" i="24" s="1"/>
  <c r="E20" i="24" s="1"/>
  <c r="N36" i="20"/>
  <c r="G21" i="20"/>
  <c r="M21" i="20" s="1"/>
  <c r="L21" i="20" s="1"/>
  <c r="AC21" i="20" s="1"/>
  <c r="L9" i="20"/>
  <c r="U7" i="20"/>
  <c r="U45" i="20"/>
  <c r="U39" i="20"/>
  <c r="Q16" i="24"/>
  <c r="O16" i="24" s="1"/>
  <c r="S22" i="24"/>
  <c r="N58" i="20"/>
  <c r="G27" i="20"/>
  <c r="M27" i="20" s="1"/>
  <c r="L27" i="20" s="1"/>
  <c r="AC27" i="20" s="1"/>
  <c r="R42" i="20"/>
  <c r="V6" i="20"/>
  <c r="W6" i="20"/>
  <c r="Q6" i="20"/>
  <c r="R52" i="20"/>
  <c r="R31" i="20"/>
  <c r="U60" i="20"/>
  <c r="U56" i="20"/>
  <c r="S19" i="24"/>
  <c r="P19" i="24"/>
  <c r="O19" i="24" s="1"/>
  <c r="P23" i="24"/>
  <c r="N34" i="20"/>
  <c r="G34" i="20"/>
  <c r="K22" i="20"/>
  <c r="I23" i="20"/>
  <c r="X35" i="20"/>
  <c r="I52" i="20"/>
  <c r="I20" i="20"/>
  <c r="K19" i="20"/>
  <c r="M10" i="20"/>
  <c r="M7" i="20" s="1"/>
  <c r="H9" i="24" s="1"/>
  <c r="G7" i="20"/>
  <c r="I29" i="20"/>
  <c r="D6" i="20"/>
  <c r="G69" i="20"/>
  <c r="N69" i="20"/>
  <c r="I61" i="20"/>
  <c r="K60" i="20"/>
  <c r="I57" i="20"/>
  <c r="J56" i="20"/>
  <c r="L40" i="20"/>
  <c r="AA40" i="20" s="1"/>
  <c r="M39" i="20"/>
  <c r="H20" i="24" s="1"/>
  <c r="G35" i="20"/>
  <c r="M36" i="20"/>
  <c r="S15" i="24"/>
  <c r="P15" i="24"/>
  <c r="O15" i="24" s="1"/>
  <c r="S26" i="24"/>
  <c r="P26" i="24"/>
  <c r="O26" i="24" s="1"/>
  <c r="I65" i="20"/>
  <c r="J64" i="20"/>
  <c r="G61" i="20"/>
  <c r="N61" i="20"/>
  <c r="H60" i="20"/>
  <c r="U16" i="20"/>
  <c r="O22" i="24"/>
  <c r="S28" i="24"/>
  <c r="M65" i="20"/>
  <c r="G64" i="20"/>
  <c r="N62" i="20"/>
  <c r="G62" i="20"/>
  <c r="M62" i="20" s="1"/>
  <c r="N38" i="20"/>
  <c r="H35" i="20"/>
  <c r="Q27" i="24"/>
  <c r="O27" i="24" s="1"/>
  <c r="U18" i="24"/>
  <c r="X34" i="20"/>
  <c r="H31" i="20"/>
  <c r="N63" i="20"/>
  <c r="L63" i="20" s="1"/>
  <c r="AC63" i="20" s="1"/>
  <c r="M57" i="20"/>
  <c r="G56" i="20"/>
  <c r="N54" i="20"/>
  <c r="G54" i="20"/>
  <c r="M54" i="20" s="1"/>
  <c r="H52" i="20"/>
  <c r="G39" i="20"/>
  <c r="M20" i="20"/>
  <c r="L17" i="20"/>
  <c r="AC17" i="20" s="1"/>
  <c r="M16" i="20"/>
  <c r="H11" i="24" s="1"/>
  <c r="X28" i="20"/>
  <c r="E6" i="20"/>
  <c r="N51" i="20"/>
  <c r="L51" i="20" s="1"/>
  <c r="AC51" i="20" s="1"/>
  <c r="G49" i="20"/>
  <c r="N49" i="20"/>
  <c r="G43" i="20"/>
  <c r="N43" i="20"/>
  <c r="N42" i="20" s="1"/>
  <c r="I21" i="24" s="1"/>
  <c r="E21" i="24" s="1"/>
  <c r="H42" i="20"/>
  <c r="G30" i="20"/>
  <c r="M30" i="20" s="1"/>
  <c r="L30" i="20" s="1"/>
  <c r="AC30" i="20" s="1"/>
  <c r="G24" i="20"/>
  <c r="M24" i="20" s="1"/>
  <c r="L24" i="20" s="1"/>
  <c r="AC24" i="20" s="1"/>
  <c r="L18" i="20"/>
  <c r="AC18" i="20" s="1"/>
  <c r="N11" i="20"/>
  <c r="L11" i="20" s="1"/>
  <c r="AC11" i="20" s="1"/>
  <c r="H7" i="20"/>
  <c r="N10" i="20"/>
  <c r="G29" i="20"/>
  <c r="N29" i="20"/>
  <c r="N28" i="20" s="1"/>
  <c r="I17" i="24" s="1"/>
  <c r="E17" i="24" s="1"/>
  <c r="G23" i="20"/>
  <c r="N23" i="20"/>
  <c r="N22" i="20" s="1"/>
  <c r="I15" i="24" s="1"/>
  <c r="E15" i="24" s="1"/>
  <c r="H22" i="20"/>
  <c r="X16" i="20"/>
  <c r="C6" i="20"/>
  <c r="AL27" i="21"/>
  <c r="AQ16" i="21" l="1"/>
  <c r="H19" i="21"/>
  <c r="R31" i="21"/>
  <c r="AQ32" i="21"/>
  <c r="AS32" i="21"/>
  <c r="Y9" i="21"/>
  <c r="Y8" i="21" s="1"/>
  <c r="AQ25" i="21"/>
  <c r="O9" i="21"/>
  <c r="O8" i="21" s="1"/>
  <c r="AS22" i="21"/>
  <c r="AQ22" i="21"/>
  <c r="AQ26" i="21"/>
  <c r="AS26" i="21"/>
  <c r="L29" i="24"/>
  <c r="T31" i="21"/>
  <c r="X9" i="24"/>
  <c r="V9" i="24" s="1"/>
  <c r="AB9" i="21"/>
  <c r="AB8" i="21" s="1"/>
  <c r="AD9" i="21"/>
  <c r="AD8" i="21" s="1"/>
  <c r="AA8" i="20"/>
  <c r="AA37" i="20"/>
  <c r="L26" i="20"/>
  <c r="AC26" i="20" s="1"/>
  <c r="AA47" i="20"/>
  <c r="AA33" i="20"/>
  <c r="AA24" i="20"/>
  <c r="O73" i="20"/>
  <c r="G19" i="20"/>
  <c r="I72" i="20"/>
  <c r="N56" i="20"/>
  <c r="I25" i="24" s="1"/>
  <c r="E25" i="24" s="1"/>
  <c r="N13" i="20"/>
  <c r="I10" i="24" s="1"/>
  <c r="G10" i="24" s="1"/>
  <c r="AA51" i="20"/>
  <c r="AC53" i="20"/>
  <c r="AA53" i="20"/>
  <c r="AA15" i="20"/>
  <c r="AC15" i="20"/>
  <c r="AA32" i="20"/>
  <c r="AA55" i="20"/>
  <c r="L10" i="20"/>
  <c r="L7" i="20" s="1"/>
  <c r="AC7" i="20" s="1"/>
  <c r="S25" i="24"/>
  <c r="AA63" i="20"/>
  <c r="AA26" i="20"/>
  <c r="AA50" i="20"/>
  <c r="AA18" i="20"/>
  <c r="AA30" i="20"/>
  <c r="AA59" i="20"/>
  <c r="L39" i="20"/>
  <c r="AC39" i="20" s="1"/>
  <c r="AC40" i="20"/>
  <c r="AA27" i="20"/>
  <c r="AA21" i="20"/>
  <c r="J6" i="20"/>
  <c r="K6" i="20"/>
  <c r="AA9" i="20"/>
  <c r="AC9" i="20"/>
  <c r="AA12" i="20"/>
  <c r="AC12" i="20"/>
  <c r="AA39" i="20"/>
  <c r="AB74" i="20"/>
  <c r="AC37" i="20"/>
  <c r="AB35" i="20"/>
  <c r="AA71" i="20"/>
  <c r="AA70" i="20"/>
  <c r="AA44" i="20"/>
  <c r="AA66" i="20"/>
  <c r="S23" i="24"/>
  <c r="N7" i="20"/>
  <c r="I9" i="24" s="1"/>
  <c r="M45" i="20"/>
  <c r="H22" i="24" s="1"/>
  <c r="D22" i="24" s="1"/>
  <c r="N48" i="20"/>
  <c r="I23" i="24" s="1"/>
  <c r="E23" i="24" s="1"/>
  <c r="N52" i="20"/>
  <c r="I24" i="24" s="1"/>
  <c r="E24" i="24" s="1"/>
  <c r="N35" i="20"/>
  <c r="I19" i="24" s="1"/>
  <c r="E19" i="24" s="1"/>
  <c r="N31" i="20"/>
  <c r="I18" i="24" s="1"/>
  <c r="E18" i="24" s="1"/>
  <c r="G45" i="20"/>
  <c r="O6" i="20"/>
  <c r="N64" i="20"/>
  <c r="I27" i="24" s="1"/>
  <c r="E27" i="24" s="1"/>
  <c r="L46" i="20"/>
  <c r="R11" i="24"/>
  <c r="O11" i="24" s="1"/>
  <c r="X11" i="24"/>
  <c r="V11" i="24" s="1"/>
  <c r="AO9" i="21"/>
  <c r="AO8" i="21" s="1"/>
  <c r="V9" i="21"/>
  <c r="V8" i="21" s="1"/>
  <c r="E9" i="21"/>
  <c r="E8" i="21" s="1"/>
  <c r="E34" i="21" s="1"/>
  <c r="Z8" i="24"/>
  <c r="AQ12" i="21"/>
  <c r="AP9" i="21"/>
  <c r="AP8" i="21" s="1"/>
  <c r="W9" i="21"/>
  <c r="W8" i="21" s="1"/>
  <c r="I9" i="21"/>
  <c r="I8" i="21" s="1"/>
  <c r="I34" i="21" s="1"/>
  <c r="N8" i="24"/>
  <c r="AM9" i="21"/>
  <c r="AM8" i="21" s="1"/>
  <c r="J9" i="21"/>
  <c r="J8" i="21" s="1"/>
  <c r="J34" i="21" s="1"/>
  <c r="L9" i="21"/>
  <c r="L8" i="21" s="1"/>
  <c r="AI9" i="21"/>
  <c r="AI8" i="21" s="1"/>
  <c r="X10" i="24"/>
  <c r="V10" i="24" s="1"/>
  <c r="R12" i="24"/>
  <c r="O23" i="24"/>
  <c r="U6" i="20"/>
  <c r="AG9" i="21"/>
  <c r="AG8" i="21" s="1"/>
  <c r="AQ20" i="21"/>
  <c r="M9" i="24"/>
  <c r="T23" i="21"/>
  <c r="R24" i="21"/>
  <c r="F9" i="24"/>
  <c r="F8" i="24" s="1"/>
  <c r="M18" i="21"/>
  <c r="M9" i="21" s="1"/>
  <c r="K9" i="24"/>
  <c r="D9" i="24" s="1"/>
  <c r="AQ28" i="21"/>
  <c r="AL11" i="21"/>
  <c r="AN10" i="21"/>
  <c r="P13" i="24"/>
  <c r="O13" i="24" s="1"/>
  <c r="V13" i="24"/>
  <c r="R11" i="21"/>
  <c r="AQ24" i="21"/>
  <c r="H18" i="21"/>
  <c r="H9" i="21" s="1"/>
  <c r="P10" i="24"/>
  <c r="T15" i="21"/>
  <c r="T13" i="21" s="1"/>
  <c r="U13" i="21"/>
  <c r="M10" i="24" s="1"/>
  <c r="L10" i="24" s="1"/>
  <c r="S13" i="21"/>
  <c r="K10" i="24" s="1"/>
  <c r="D10" i="24" s="1"/>
  <c r="W8" i="24"/>
  <c r="C10" i="21"/>
  <c r="C9" i="21" s="1"/>
  <c r="C8" i="21" s="1"/>
  <c r="AL21" i="21"/>
  <c r="AL18" i="21" s="1"/>
  <c r="S18" i="21"/>
  <c r="K11" i="24" s="1"/>
  <c r="T19" i="21"/>
  <c r="U18" i="21"/>
  <c r="M11" i="24" s="1"/>
  <c r="L11" i="24" s="1"/>
  <c r="E11" i="24" s="1"/>
  <c r="R30" i="21"/>
  <c r="AL14" i="21"/>
  <c r="AN13" i="21"/>
  <c r="AL29" i="21"/>
  <c r="AQ30" i="21"/>
  <c r="J12" i="24"/>
  <c r="C12" i="24" s="1"/>
  <c r="D12" i="24"/>
  <c r="J13" i="24"/>
  <c r="C13" i="24" s="1"/>
  <c r="E13" i="24"/>
  <c r="AN23" i="21"/>
  <c r="N68" i="20"/>
  <c r="I28" i="24" s="1"/>
  <c r="E28" i="24" s="1"/>
  <c r="M25" i="20"/>
  <c r="H16" i="24" s="1"/>
  <c r="G16" i="24" s="1"/>
  <c r="C16" i="24" s="1"/>
  <c r="L58" i="20"/>
  <c r="L14" i="20"/>
  <c r="H6" i="20"/>
  <c r="L54" i="20"/>
  <c r="G25" i="20"/>
  <c r="L67" i="20"/>
  <c r="L16" i="20"/>
  <c r="AC16" i="20" s="1"/>
  <c r="AA17" i="20"/>
  <c r="M34" i="20"/>
  <c r="G31" i="20"/>
  <c r="G28" i="20"/>
  <c r="M29" i="20"/>
  <c r="G48" i="20"/>
  <c r="M49" i="20"/>
  <c r="S18" i="24"/>
  <c r="Q18" i="24"/>
  <c r="O18" i="24" s="1"/>
  <c r="I64" i="20"/>
  <c r="L36" i="20"/>
  <c r="M35" i="20"/>
  <c r="H19" i="24" s="1"/>
  <c r="I60" i="20"/>
  <c r="I28" i="20"/>
  <c r="M52" i="20"/>
  <c r="H24" i="24" s="1"/>
  <c r="I22" i="20"/>
  <c r="M64" i="20"/>
  <c r="H27" i="24" s="1"/>
  <c r="L65" i="20"/>
  <c r="N60" i="20"/>
  <c r="I26" i="24" s="1"/>
  <c r="E26" i="24" s="1"/>
  <c r="U8" i="24"/>
  <c r="L38" i="20"/>
  <c r="L57" i="20"/>
  <c r="M56" i="20"/>
  <c r="H25" i="24" s="1"/>
  <c r="L25" i="20"/>
  <c r="AC25" i="20" s="1"/>
  <c r="L20" i="20"/>
  <c r="M19" i="20"/>
  <c r="H14" i="24" s="1"/>
  <c r="G52" i="20"/>
  <c r="G22" i="20"/>
  <c r="M23" i="20"/>
  <c r="M43" i="20"/>
  <c r="G42" i="20"/>
  <c r="G11" i="24"/>
  <c r="L62" i="20"/>
  <c r="X31" i="20"/>
  <c r="G60" i="20"/>
  <c r="M61" i="20"/>
  <c r="G20" i="24"/>
  <c r="C20" i="24" s="1"/>
  <c r="D20" i="24"/>
  <c r="I56" i="20"/>
  <c r="G68" i="20"/>
  <c r="M69" i="20"/>
  <c r="I19" i="20"/>
  <c r="Q12" i="24"/>
  <c r="O12" i="24" s="1"/>
  <c r="Y8" i="24"/>
  <c r="X12" i="24"/>
  <c r="AQ27" i="21"/>
  <c r="AL23" i="21"/>
  <c r="R8" i="24" l="1"/>
  <c r="R29" i="21"/>
  <c r="AS29" i="21" s="1"/>
  <c r="AS30" i="21"/>
  <c r="R23" i="21"/>
  <c r="AS23" i="21" s="1"/>
  <c r="AS24" i="21"/>
  <c r="E29" i="24"/>
  <c r="J29" i="24"/>
  <c r="C29" i="24" s="1"/>
  <c r="AQ23" i="21"/>
  <c r="AS31" i="21"/>
  <c r="AQ31" i="21"/>
  <c r="J11" i="24"/>
  <c r="C11" i="24" s="1"/>
  <c r="M8" i="24"/>
  <c r="AN9" i="21"/>
  <c r="AN8" i="21" s="1"/>
  <c r="M8" i="21"/>
  <c r="R10" i="21"/>
  <c r="AS11" i="21"/>
  <c r="E10" i="24"/>
  <c r="AA16" i="20"/>
  <c r="AC57" i="20"/>
  <c r="AA57" i="20"/>
  <c r="AC58" i="20"/>
  <c r="AA58" i="20"/>
  <c r="AC38" i="20"/>
  <c r="AA38" i="20"/>
  <c r="AB16" i="24"/>
  <c r="AB6" i="20"/>
  <c r="AI9" i="26" s="1"/>
  <c r="AB20" i="24"/>
  <c r="AC46" i="20"/>
  <c r="AA46" i="20"/>
  <c r="AA25" i="20"/>
  <c r="AC20" i="20"/>
  <c r="AA20" i="20"/>
  <c r="AC65" i="20"/>
  <c r="AA65" i="20"/>
  <c r="AC54" i="20"/>
  <c r="AA54" i="20"/>
  <c r="AC62" i="20"/>
  <c r="AA62" i="20"/>
  <c r="AC36" i="20"/>
  <c r="AA36" i="20"/>
  <c r="AC67" i="20"/>
  <c r="AA67" i="20"/>
  <c r="AA14" i="20"/>
  <c r="AC14" i="20"/>
  <c r="AA10" i="20"/>
  <c r="AC10" i="20"/>
  <c r="H8" i="21"/>
  <c r="G9" i="24"/>
  <c r="I8" i="24"/>
  <c r="G22" i="24"/>
  <c r="C22" i="24" s="1"/>
  <c r="L45" i="20"/>
  <c r="D16" i="24"/>
  <c r="N6" i="20"/>
  <c r="L52" i="20"/>
  <c r="Q8" i="24"/>
  <c r="S9" i="21"/>
  <c r="S8" i="21" s="1"/>
  <c r="AQ21" i="21"/>
  <c r="J10" i="24"/>
  <c r="C10" i="24" s="1"/>
  <c r="U9" i="21"/>
  <c r="U8" i="21" s="1"/>
  <c r="K8" i="24"/>
  <c r="O10" i="24"/>
  <c r="D11" i="24"/>
  <c r="AB13" i="24"/>
  <c r="T18" i="21"/>
  <c r="H34" i="21"/>
  <c r="R19" i="21"/>
  <c r="AS19" i="21" s="1"/>
  <c r="AA13" i="24"/>
  <c r="AL10" i="21"/>
  <c r="AQ11" i="21"/>
  <c r="L9" i="24"/>
  <c r="L8" i="24" s="1"/>
  <c r="AL13" i="21"/>
  <c r="AQ14" i="21"/>
  <c r="R15" i="21"/>
  <c r="G6" i="20"/>
  <c r="L13" i="20"/>
  <c r="G25" i="24"/>
  <c r="C25" i="24" s="1"/>
  <c r="D25" i="24"/>
  <c r="G27" i="24"/>
  <c r="C27" i="24" s="1"/>
  <c r="D27" i="24"/>
  <c r="L35" i="20"/>
  <c r="AA35" i="20" s="1"/>
  <c r="D14" i="24"/>
  <c r="G14" i="24"/>
  <c r="C14" i="24" s="1"/>
  <c r="L23" i="20"/>
  <c r="M22" i="20"/>
  <c r="H15" i="24" s="1"/>
  <c r="L29" i="20"/>
  <c r="M28" i="20"/>
  <c r="H17" i="24" s="1"/>
  <c r="L34" i="20"/>
  <c r="M31" i="20"/>
  <c r="H18" i="24" s="1"/>
  <c r="L56" i="20"/>
  <c r="G24" i="24"/>
  <c r="C24" i="24" s="1"/>
  <c r="D24" i="24"/>
  <c r="AA16" i="24"/>
  <c r="L49" i="20"/>
  <c r="M48" i="20"/>
  <c r="H23" i="24" s="1"/>
  <c r="L69" i="20"/>
  <c r="M68" i="20"/>
  <c r="H28" i="24" s="1"/>
  <c r="L61" i="20"/>
  <c r="M60" i="20"/>
  <c r="H26" i="24" s="1"/>
  <c r="AA20" i="24"/>
  <c r="L43" i="20"/>
  <c r="M42" i="20"/>
  <c r="H21" i="24" s="1"/>
  <c r="L19" i="20"/>
  <c r="I6" i="20"/>
  <c r="L64" i="20"/>
  <c r="G19" i="24"/>
  <c r="C19" i="24" s="1"/>
  <c r="D19" i="24"/>
  <c r="X8" i="24"/>
  <c r="V12" i="24"/>
  <c r="V8" i="24" s="1"/>
  <c r="AB12" i="24"/>
  <c r="AA12" i="24"/>
  <c r="AQ29" i="21" l="1"/>
  <c r="AA29" i="24"/>
  <c r="AB29" i="24"/>
  <c r="AS15" i="21"/>
  <c r="AQ10" i="21"/>
  <c r="AS10" i="21"/>
  <c r="AC64" i="20"/>
  <c r="AA64" i="20"/>
  <c r="AC43" i="20"/>
  <c r="AA43" i="20"/>
  <c r="H8" i="24"/>
  <c r="AB22" i="24"/>
  <c r="AC23" i="20"/>
  <c r="AA23" i="20"/>
  <c r="AA13" i="20"/>
  <c r="AC13" i="20"/>
  <c r="AC35" i="20"/>
  <c r="AC19" i="20"/>
  <c r="AA19" i="20"/>
  <c r="AC52" i="20"/>
  <c r="AA52" i="20"/>
  <c r="AC69" i="20"/>
  <c r="AA69" i="20"/>
  <c r="AC34" i="20"/>
  <c r="AA34" i="20"/>
  <c r="AC61" i="20"/>
  <c r="AA61" i="20"/>
  <c r="AC49" i="20"/>
  <c r="AA49" i="20"/>
  <c r="AC56" i="20"/>
  <c r="AA56" i="20"/>
  <c r="AC29" i="20"/>
  <c r="AA29" i="20"/>
  <c r="AC45" i="20"/>
  <c r="AA45" i="20"/>
  <c r="H36" i="21"/>
  <c r="O74" i="20" s="1"/>
  <c r="AA22" i="24"/>
  <c r="T9" i="21"/>
  <c r="T8" i="21" s="1"/>
  <c r="AA10" i="24"/>
  <c r="AB10" i="24"/>
  <c r="AL9" i="21"/>
  <c r="AL8" i="21" s="1"/>
  <c r="AQ19" i="21"/>
  <c r="R18" i="21"/>
  <c r="J9" i="24"/>
  <c r="J8" i="24" s="1"/>
  <c r="AA11" i="24"/>
  <c r="AB11" i="24"/>
  <c r="AQ15" i="21"/>
  <c r="R13" i="21"/>
  <c r="E9" i="24"/>
  <c r="E8" i="24" s="1"/>
  <c r="L42" i="20"/>
  <c r="G28" i="24"/>
  <c r="C28" i="24" s="1"/>
  <c r="D28" i="24"/>
  <c r="G23" i="24"/>
  <c r="C23" i="24" s="1"/>
  <c r="D23" i="24"/>
  <c r="G18" i="24"/>
  <c r="C18" i="24" s="1"/>
  <c r="D18" i="24"/>
  <c r="L22" i="20"/>
  <c r="AB19" i="24"/>
  <c r="AA19" i="24"/>
  <c r="L68" i="20"/>
  <c r="L48" i="20"/>
  <c r="AB24" i="24"/>
  <c r="AA24" i="24"/>
  <c r="L31" i="20"/>
  <c r="AB27" i="24"/>
  <c r="AA27" i="24"/>
  <c r="D26" i="24"/>
  <c r="G26" i="24"/>
  <c r="C26" i="24" s="1"/>
  <c r="G17" i="24"/>
  <c r="C17" i="24" s="1"/>
  <c r="D17" i="24"/>
  <c r="M6" i="20"/>
  <c r="G21" i="24"/>
  <c r="C21" i="24" s="1"/>
  <c r="D21" i="24"/>
  <c r="L60" i="20"/>
  <c r="L28" i="20"/>
  <c r="G15" i="24"/>
  <c r="D15" i="24"/>
  <c r="AB14" i="24"/>
  <c r="AA14" i="24"/>
  <c r="AB25" i="24"/>
  <c r="AA25" i="24"/>
  <c r="AS18" i="21" l="1"/>
  <c r="AQ18" i="21"/>
  <c r="D8" i="24"/>
  <c r="AC31" i="20"/>
  <c r="AA31" i="20"/>
  <c r="AC68" i="20"/>
  <c r="AA68" i="20"/>
  <c r="AC28" i="20"/>
  <c r="AA28" i="20"/>
  <c r="AC60" i="20"/>
  <c r="AA60" i="20"/>
  <c r="AC42" i="20"/>
  <c r="AA42" i="20"/>
  <c r="AC48" i="20"/>
  <c r="AA48" i="20"/>
  <c r="AC22" i="20"/>
  <c r="AA22" i="20"/>
  <c r="AQ13" i="21"/>
  <c r="AS13" i="21"/>
  <c r="G8" i="24"/>
  <c r="R9" i="21"/>
  <c r="C34" i="21"/>
  <c r="C9" i="24"/>
  <c r="AB21" i="24"/>
  <c r="AA21" i="24"/>
  <c r="AB26" i="24"/>
  <c r="AA26" i="24"/>
  <c r="L6" i="20"/>
  <c r="AC6" i="20" s="1"/>
  <c r="AB23" i="24"/>
  <c r="AA23" i="24"/>
  <c r="C15" i="24"/>
  <c r="AB18" i="24"/>
  <c r="AA18" i="24"/>
  <c r="AB28" i="24"/>
  <c r="AA28" i="24"/>
  <c r="AB17" i="24"/>
  <c r="AA17" i="24"/>
  <c r="C8" i="24" l="1"/>
  <c r="R8" i="21"/>
  <c r="AQ9" i="21"/>
  <c r="AS9" i="21"/>
  <c r="AB15" i="24"/>
  <c r="AA15" i="24"/>
  <c r="AQ8" i="21" l="1"/>
  <c r="AS8" i="21"/>
  <c r="T7" i="20" l="1"/>
  <c r="S7" i="20"/>
  <c r="R11" i="20"/>
  <c r="Y7" i="20"/>
  <c r="R7" i="20" l="1"/>
  <c r="AA11" i="20"/>
  <c r="Y6" i="20"/>
  <c r="T9" i="24"/>
  <c r="X7" i="20"/>
  <c r="X6" i="20" l="1"/>
  <c r="AA7" i="20"/>
  <c r="P9" i="24"/>
  <c r="T8" i="24"/>
  <c r="S9" i="24"/>
  <c r="S8" i="24" s="1"/>
  <c r="AA6" i="20" l="1"/>
  <c r="O9" i="24"/>
  <c r="O8" i="24" s="1"/>
  <c r="P8" i="24"/>
  <c r="AB9" i="24" l="1"/>
  <c r="AA9" i="24"/>
  <c r="AA8" i="24" l="1"/>
  <c r="AB8" i="24"/>
  <c r="T35" i="20"/>
  <c r="T6" i="20" s="1"/>
  <c r="S35" i="20"/>
  <c r="S6" i="20" s="1"/>
  <c r="R37" i="20"/>
  <c r="R35" i="20" l="1"/>
  <c r="R6" i="20" l="1"/>
</calcChain>
</file>

<file path=xl/sharedStrings.xml><?xml version="1.0" encoding="utf-8"?>
<sst xmlns="http://schemas.openxmlformats.org/spreadsheetml/2006/main" count="440" uniqueCount="181">
  <si>
    <t>Dự án 2: Đa dạng hóa sinh kế, phát triển mô hình giảm nghèo</t>
  </si>
  <si>
    <t>I</t>
  </si>
  <si>
    <t>II</t>
  </si>
  <si>
    <t>III</t>
  </si>
  <si>
    <t>IV</t>
  </si>
  <si>
    <t>V</t>
  </si>
  <si>
    <t>STT</t>
  </si>
  <si>
    <t>Danh mục dự án</t>
  </si>
  <si>
    <t>Ghi chú</t>
  </si>
  <si>
    <t>Trong đó:</t>
  </si>
  <si>
    <t>a</t>
  </si>
  <si>
    <t>Đào tạo nghề cho lao động nông thôn (nghề nông nghiệp)</t>
  </si>
  <si>
    <t>b</t>
  </si>
  <si>
    <t>Đào tạo nghề cho lao động nông thôn (nghề phi nông nghiệp)</t>
  </si>
  <si>
    <t>c</t>
  </si>
  <si>
    <t>Kiểm tra, giám sát, đánh giá, quản lý thực hiện đào tạo nghề cho lao động nông thôn</t>
  </si>
  <si>
    <t>VI</t>
  </si>
  <si>
    <t>IX</t>
  </si>
  <si>
    <t>TỔNG CỘNG</t>
  </si>
  <si>
    <t>Dự án 1: Giải quyết tình trạng thiếu đất ở, nhà ở, đất sản xuất, nước sinh hoạt</t>
  </si>
  <si>
    <t>Dự án 3: Phát triển sản xuất nông, lâm nghiệp, phát huy tiềm năng, thế mạnh của các vùng miền để sản xuất hàng hóa theo chuỗi giá trị</t>
  </si>
  <si>
    <t>Tiểu dự án 2: Hỗ trợ phát triển sản xuất theo chuỗi giá trị, vùng trồng dược liệu quý, thúc đẩy khởi sự kinh doanh, khởi nghiệp và thu hút đầu tư vùng đồng bào dân thiểu số và miền núi</t>
  </si>
  <si>
    <t>Dự án 4: Đầu tư cơ sở hạ tầng thiết yếu, phục vụ sản xuất, đời sống trong vùng đồng bào dân tộc thiểu số và các đơn vị sự nghiệp công của lĩnh vực dân tộc</t>
  </si>
  <si>
    <t>Tiểu dự án 1: Đầu tư cơ sở hạ tầng thiết yếu, phục vụ sản xuất, đời sống trong vùng đồng bào dân tộc thiểu số và miền núi</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</si>
  <si>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</si>
  <si>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Tiểu dự án 3: Dự án phát triển giáo dục nghề nghiệp và giải quyết việc làm cho người lao động vùng dân tộc thiểu số và miền núi</t>
  </si>
  <si>
    <t xml:space="preserve">Tiểu dự án 4: Đào tạo nâng cao năng lực cho cộng đồng và cán bộ triển khai Chương trình ở các cấp </t>
  </si>
  <si>
    <t xml:space="preserve">V </t>
  </si>
  <si>
    <t xml:space="preserve">Dự án 6: Bảo tồn, phát huy giá trị văn hóa truyền thống tốt đẹp của các dân tộc thiểu số gắn với phát triển du lịch </t>
  </si>
  <si>
    <t>Dự án 7: Chăm sóc sức khỏe nhân dân, nâng cao thể trạng, tầm vóc người dân tộc thiểu số; phòng chống suy dinh dưỡng trẻ em</t>
  </si>
  <si>
    <t xml:space="preserve">VII </t>
  </si>
  <si>
    <t xml:space="preserve">Dự án 8: Thực hiện bình đẳng giới và giải quyết những vấn đề cấp thiết đối với phụ nữ và trẻ em </t>
  </si>
  <si>
    <t xml:space="preserve">VIII </t>
  </si>
  <si>
    <t xml:space="preserve">Dự án 9: Đầu tư phát triển nhóm dân tộc thiểu số rất ít người và nhóm dân tộc còn nhiều khó khăn </t>
  </si>
  <si>
    <t xml:space="preserve">Tiểu dự án 2: Giảm thiểu tình tảo hôn và hôn nhân cận huyết thống trong vùng đồng bào dân tộc thiểu số và miền núi </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</si>
  <si>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</si>
  <si>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 và miền núi</t>
  </si>
  <si>
    <t xml:space="preserve">Tiểu dự án 3: Kiểm tra, giám sát, đánh giá, đào tạo, tập huấn tổ chức thực hiện Chương trình </t>
  </si>
  <si>
    <t>Tiểu dự án 1: Nâng cao chất lượng, phát triển giáo dục ở nông thôn</t>
  </si>
  <si>
    <t>Dự án 2: Phát triển hạ tầng kinh tế - xã hội, cơ bản đồng bộ, hiện đại, đảm bảo kết nối nông thôn – đô thị và kết nối các vùng miền</t>
  </si>
  <si>
    <t>Dự án 3: Tiếp tục thực hiện có hiệu quả cơ cấu lại ngành nông nghiệp, phát triển kinh tế nông thôn</t>
  </si>
  <si>
    <t>Dự án 5: Nâng cao chất lượng giáo dục, y tế và chăm sóc sức khỏe của người dân nông thôn</t>
  </si>
  <si>
    <t>Dự án 6: Nâng cao chất lượng đời sống văn hóa nông thôn; bảo tồn và phát huy các giá trị văn hóa truyền thống gắn với phát triển du lịch nông thôn</t>
  </si>
  <si>
    <t>Tiểu dự án 1: Nâng cao hiệu quả hoạt động của hệ thống thiết chế văn hóa, thể thao cơ sở; Tăng cường nâng cao chất lượng hoạt động văn hóa, thể thao nông thôn, gắn với các tổ chức cộng đồng</t>
  </si>
  <si>
    <t>Dự án 7: Nâng cao chất lượng môi trường; xây dựng cảnh quan nông thôn sáng – xanh – sạch – đẹp, an toàn; giữ gìn và khôi phục cảnh quan truyền thống nông thôn</t>
  </si>
  <si>
    <t>Dự án 11: Tăng cường công tác giám sát, đánh giá thực hiện chương trình; nâng cao năng lực, truyền thông xây dựng nông thôn mới; thực hiện phong trào thi đua cả nước chung sức xây dựng nông thôn mới</t>
  </si>
  <si>
    <t>Ngân sách địa phương</t>
  </si>
  <si>
    <t xml:space="preserve">Danh mục dự án </t>
  </si>
  <si>
    <t>2</t>
  </si>
  <si>
    <t>Dự án 5: Phát triển giáo dục đào tạo nâng cao chất lượng nguồn nhân lực</t>
  </si>
  <si>
    <t xml:space="preserve">KẾ HOẠCH VỐN NGÂN SÁCH NHÀ NƯỚC NĂM 2024
THỰC HIỆN CHƯƠNG TRÌNH MỤC TIÊU QUỐC GIA XÂY DỰNG NÔNG THÔN MỚI </t>
  </si>
  <si>
    <t>Ngân sách  huyện đối ứng</t>
  </si>
  <si>
    <t>Ngân sách Trung ương</t>
  </si>
  <si>
    <t>Đơn vị tính: Triệu đồng</t>
  </si>
  <si>
    <t xml:space="preserve">Tiểu dự án 1: Nâng cao chất lượng và hiệu quả công tác kiểm tra, giám sát, đánh giá kết quả thực hiện chương trình; xây dựng hệ thống giám sát, đánh giá; nhân rộng mô hình giám sát an ninh hiện đại và giám sát của cộng đồng </t>
  </si>
  <si>
    <t>Tiểu dự án 9: Tăng cường hỗ trợ cho hệ thống thông tin và truyền thông cơ sở</t>
  </si>
  <si>
    <t>Tiểu dự án 11: Phát triển các mô hình xử lý nước thải sinh hoạt quy mô hộ gia đình, cấp thôn</t>
  </si>
  <si>
    <t>Tiểu dự án 4: Triển khai chương trình mỗi xã một sản phẩm (OCOP) gắn với lợi thế vùng miền; Phát triển tiểu thủ công nghiệp, ngành nghề và dịch vụ nông thôn, bảo tồn và phát huy các làng nghề truyền thống ở nông thôn; Đẩy mạnh sản xuất, chế biến muối theo chuỗi giá trị</t>
  </si>
  <si>
    <t>Tiểu dự án 8: Thực hiện hiệu quả chương trình phát triển du lịch nông thôn trong xây dựng nông thôn mới giai đoạn 2021-2025 gắn với bảo tồn và phát huy các giá trị văn hóa truyền thống theo hướng bền vững, bao trùm và đa giá trị</t>
  </si>
  <si>
    <t>Tiểu dự án 9: Tiếp tục nâng cao chất lượng đào tạo nghề cho lao động nông thôn, gắn với nhu cầu của thị trường; hỗ trợ thúc đẩy và phát triển các mô hình khởi nghiệp, sáng tạo ở nông thôn</t>
  </si>
  <si>
    <t>Tổng cộng</t>
  </si>
  <si>
    <t>Nội dung</t>
  </si>
  <si>
    <t>Chương trình MTQG giảm nghèo bền vững</t>
  </si>
  <si>
    <t>Chương trình MTQG Nông thôn mới</t>
  </si>
  <si>
    <t>Tổng</t>
  </si>
  <si>
    <t>TW</t>
  </si>
  <si>
    <t>ĐƯ ĐP (Tỉnh)</t>
  </si>
  <si>
    <t>ĐƯ ĐP (Huyện)</t>
  </si>
  <si>
    <t>Tiểu dự án 2: Bồi dưỡng kiến thức dân tộc; đào tạo dự bị đại học, đại học và sau đại học đáp ứng nhu cầu nhân lực cho vùng đồng bào dân tộc thiểu số và miền núi</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</si>
  <si>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t>
  </si>
  <si>
    <t>Nguồn TW</t>
  </si>
  <si>
    <t xml:space="preserve">Nguồn Tỉnh đối ứng </t>
  </si>
  <si>
    <t xml:space="preserve">Ngân sách Tỉnh đối ứng  </t>
  </si>
  <si>
    <t>Năm 2023 mang sang 2024</t>
  </si>
  <si>
    <t>Giải ngân vốn năm 2024 (Vốn 2023 mang sang 2024)</t>
  </si>
  <si>
    <t>Kế hoạch vốn năm 2024</t>
  </si>
  <si>
    <t>Giải ngân vốn năm 2024 (Vốn 2024)</t>
  </si>
  <si>
    <t xml:space="preserve">Số vốn còn lại năm 2023 mang sang 2024 </t>
  </si>
  <si>
    <t>Số vốn còn lại năm 2024</t>
  </si>
  <si>
    <t>Vốn các năm trước mang sang 2024</t>
  </si>
  <si>
    <t>Giải ngân vốn năm 2024 (Vốn các năm trước mang sang 2024)</t>
  </si>
  <si>
    <t xml:space="preserve">Phụ lục số 1
KẾ HOẠCH VỐN NGÂN SÁCH NHÀ NƯỚC NĂM 2024 THỰC HIỆN CHƯƠNG TRÌNH  MỤC TIÊU QUỐC GIA PHÁT TRIỂN KINH TẾ - XÃ HỘI VÙNG ĐỒNG BÀO DÂN TỘC THIỂU SỐ VÀ MIỀN NÚI </t>
  </si>
  <si>
    <t>Phụ lục số 3</t>
  </si>
  <si>
    <r>
      <rPr>
        <b/>
        <sz val="13"/>
        <rFont val="Times New Roman"/>
        <family val="1"/>
      </rPr>
      <t>Tiểu dự án 1</t>
    </r>
    <r>
      <rPr>
        <sz val="13"/>
        <rFont val="Times New Roman"/>
        <family val="1"/>
      </rPr>
      <t>: Thực hiện các Đề án/Kế hoạch tổ chức phân loại, thu gom, vận chuyển chất thải rắn trên địa bàn huyện; phát triển, nhân rộng các mô hình phân loại chất thải tại nguồn phát sinh</t>
    </r>
  </si>
  <si>
    <r>
      <rPr>
        <b/>
        <sz val="13"/>
        <rFont val="Times New Roman"/>
        <family val="1"/>
      </rPr>
      <t>Tiểu dự án 3:</t>
    </r>
    <r>
      <rPr>
        <sz val="13"/>
        <rFont val="Times New Roman"/>
        <family val="1"/>
      </rPr>
      <t xml:space="preserve"> Hỗ trợ thực hiện Chương trình tăng cường bảo vệ môi trường, an toàn thực phẩm và cấp nước sạch nông thôn trong xây dựng nông thôn mới</t>
    </r>
  </si>
  <si>
    <r>
      <rPr>
        <b/>
        <sz val="12"/>
        <rFont val="Times New Roman"/>
        <family val="1"/>
      </rPr>
      <t>Tiểu dự án 2:</t>
    </r>
    <r>
      <rPr>
        <sz val="12"/>
        <rFont val="Times New Roman"/>
        <family val="1"/>
      </rPr>
      <t xml:space="preserve"> Thu gom, tái chế, sử dụng các loại chất thải theo nguyên lý tuần hoàn; tăng cường công tác quản lý chất thải nhựa trong hoạt động sản xuất nông, lâm, ngư nghiệp ở việt nam; xây dựng cộng đồng dân cư không rác thải nhựa</t>
    </r>
  </si>
  <si>
    <t xml:space="preserve">A </t>
  </si>
  <si>
    <t>Vống sự nghiệp</t>
  </si>
  <si>
    <t>VII</t>
  </si>
  <si>
    <t>Dự án 10: Duy tu, bảo dưỡng và vận hành các công trình đầu tư sau khi đã hoàn thành đưa vào sử dụng</t>
  </si>
  <si>
    <t>B</t>
  </si>
  <si>
    <t>Vốn đầu tư công</t>
  </si>
  <si>
    <t>Trường tiểu học Hiệp Hưng 1</t>
  </si>
  <si>
    <t>Trung tâm văn hóa - thể thao xã Hiệp Hưng</t>
  </si>
  <si>
    <t>Trường TH Phương Phú 1</t>
  </si>
  <si>
    <t>Tuyến đường Sậy Niếu, ấp Lái Hiếu, xã Hiệp Hưng</t>
  </si>
  <si>
    <t>Trường Mẫu giáo Thạnh Hòa</t>
  </si>
  <si>
    <t>Nhà văn hóa ấp Nhất A</t>
  </si>
  <si>
    <t>Nhà văn hóa ấp Tầm Vu 3</t>
  </si>
  <si>
    <r>
      <t>T</t>
    </r>
    <r>
      <rPr>
        <b/>
        <sz val="12"/>
        <rFont val="Times New Roman"/>
        <family val="1"/>
      </rPr>
      <t xml:space="preserve">iểu dự án 6: </t>
    </r>
    <r>
      <rPr>
        <sz val="12"/>
        <rFont val="Times New Roman"/>
        <family val="1"/>
      </rPr>
      <t>Tăng cường quản lý an toàn thực phẩm tại các cơ sở, hộ gia đình sản xuất, kinh doanh thực phẩm; đảm bảo vệ sinh môi trường tại các cơ sở chăn nuôi, nuôi trồng thủy sản; cải thiện vệ sinh hộ gia đình</t>
    </r>
  </si>
  <si>
    <t>Địa phương</t>
  </si>
  <si>
    <t>Tổng hợp 02 chương trình MTQG</t>
  </si>
  <si>
    <t>Giải ngân Kế hoạch vốn năm 2024</t>
  </si>
  <si>
    <t>Tổng hợp 02 chương 
trình MTQG</t>
  </si>
  <si>
    <t xml:space="preserve">Phụ lục số 3
KẾ HOẠCH VỐN NGÂN SÁCH NHÀ NƯỚC NĂM 2024
THỰC HIỆN CHƯƠNG TRÌNH MỤC TIÊU QUỐC GIA GIẢM NGHÈO BỀN VỮNG </t>
  </si>
  <si>
    <t>Phụ lục số 2</t>
  </si>
  <si>
    <t>Phụ lục 1</t>
  </si>
  <si>
    <t xml:space="preserve">Tổng kế hoạch vốn </t>
  </si>
  <si>
    <t>Phòng Lao động thương binh và Xã hội</t>
  </si>
  <si>
    <t>Dự án 6: Truyền thông và giảm nghèo về thông tin. Tiểu dự án 2: Truyền thông về giảm nghèo đa chiều</t>
  </si>
  <si>
    <t xml:space="preserve">II </t>
  </si>
  <si>
    <t xml:space="preserve">Phòng Nông nghiệp và Phát triển nông thôn </t>
  </si>
  <si>
    <t xml:space="preserve">Dự án 4: Phát triển giáo dục nghề nghiệp, việc làm bền vững. Tiểu dự án 1: Phát triển giáo dục nghề nghiệp vùng khó khăn </t>
  </si>
  <si>
    <t>Dự án 7: Nâng cao năng lực và giám sát, đánh giá Chương trình. Tiểu dự án 2: Giám sát, đánh giá</t>
  </si>
  <si>
    <t>Phòng Văn hoá và Thông tin</t>
  </si>
  <si>
    <t>Dự án 6: Truyền thông và giảm nghèo về thông tin.Tiểu dự án 1: Giảm nghèo về thông tin</t>
  </si>
  <si>
    <t>Dự án 7: Nâng cao năng lực và giám sát, đánh giá Chương trình.Phòng Văn hóa và Thông tin huyện</t>
  </si>
  <si>
    <t>TT Cây Dương</t>
  </si>
  <si>
    <t>TT Kinh Cùng</t>
  </si>
  <si>
    <t>TT Búng Tàu</t>
  </si>
  <si>
    <t>Xã Phương Bình</t>
  </si>
  <si>
    <t>Xã Hòa An</t>
  </si>
  <si>
    <t>Xã Tân Bình</t>
  </si>
  <si>
    <t>Xã Thạnh Hòa</t>
  </si>
  <si>
    <t>Xã Long Thạnh</t>
  </si>
  <si>
    <t>Xã Tân Long</t>
  </si>
  <si>
    <t>Xã Phụng Hiệp</t>
  </si>
  <si>
    <t>Xã Phương Phú</t>
  </si>
  <si>
    <t>Xã Tân Phước Hưng</t>
  </si>
  <si>
    <t>Xã Hiệp Hưng</t>
  </si>
  <si>
    <t>Xã Hòa Mỹ</t>
  </si>
  <si>
    <t>Xã Bình Thành</t>
  </si>
  <si>
    <t>VIII</t>
  </si>
  <si>
    <t>X</t>
  </si>
  <si>
    <t>XI</t>
  </si>
  <si>
    <t>XII</t>
  </si>
  <si>
    <t>XIII</t>
  </si>
  <si>
    <t>XIV</t>
  </si>
  <si>
    <t>XV</t>
  </si>
  <si>
    <t>XVI</t>
  </si>
  <si>
    <t>XVII</t>
  </si>
  <si>
    <t>XVIII</t>
  </si>
  <si>
    <t>Dự án 3: Hỗ trợ phát triển sản xuất, cải thiện dinh dưỡng. Tiểu dự án 1: Hỗ trợ phát triển sản xuất trong lĩnh vực nông nghiệp</t>
  </si>
  <si>
    <t>Dự án 7: Nâng cao năng lực và giám sát, đánh giá Chương trình.Tiểu dự án 2: Giám sát, đánh giá</t>
  </si>
  <si>
    <t>Tổng kế hoạch vốn năm 2024</t>
  </si>
  <si>
    <t>VỐN SỰ NGHIỆP</t>
  </si>
  <si>
    <t>Dự án 3: Tiếp tục thực hiện có hiệu quả cơ cấu lại ngành nông nghiệp, phát triển kinh tế nông thôn. Tiểu dự án 9: Tiếp tục nâng cao chất lượng đào tạo nghề cho lao động nông thôn, gắn với nhu cầu của thị trường; hỗ trợ thúc đẩy và phát triển các mô hình khởi nghiệp, sáng tạo ở nông thôn</t>
  </si>
  <si>
    <t>Dự án 2: Phát triển hạ tầng kinh tế - xã hội, cơ bản đồng bộ, hiện đại, đảm bảo kết nối nông thôn – đô thị và kết nối các vùng miền. Tiểu dự án 9: Tăng cường hỗ trợ cho hệ thống thông tin và truyền thông cơ sở</t>
  </si>
  <si>
    <t>Dự án 6: Nâng cao chất lượng đời sống văn hóa nông thôn; bảo tồn và phát huy các giá trị văn hóa truyền thống gắn với phát triển du lịch nông thôn. Tiểu dự án 1: Nâng cao hiệu quả hoạt động của hệ thống thiết chế văn hóa, thể thao cơ sở; Tăng cường nâng cao chất lượng hoạt động văn hóa, thể thao nông thôn, gắn với các tổ chức cộng đồng</t>
  </si>
  <si>
    <t>Dự án 3: Tiếp tục thực hiện có hiệu quả cơ cấu lại ngành nông nghiệp, phát triển kinh tế nông thôn. Tiểu dự án 8: Thực hiện hiệu quả chương trình phát triển du lịch nông thôn trong xây dựng nông thôn mới giai đoạn 2021-2025 gắn với bảo tồn và phát huy các giá trị văn hóa truyền thống theo hướng bền vững, bao trùm và đa giá trị</t>
  </si>
  <si>
    <t>Phòng Tài Nguyên và Môi Trường huyện</t>
  </si>
  <si>
    <t>Dự án 2: Phát triển hạ tầng kinh tế - xã hội, cơ bản đồng bộ, hiện đại, đảm bảo kết nối nông thôn – đô thị và kết nối các vùng miền. Tiểu dự án 11: Phát triển các mô hình xử lý nước thải sinh hoạt quy mô hộ gia đình, cấp thôn</t>
  </si>
  <si>
    <t>Dự án 7: Nâng cao chất lượng môi trường; xây dựng cảnh quan nông thôn sáng – xanh – sạch – đẹp, an toàn; giữ gìn và khôi phục cảnh quan truyền thống nông thôn. Tiểu dự án 2: Thu gom, tái chế, sử dụng các loại chất thải theo nguyên lý tuần hoàn; tăng cường công tác quản lý chất thải nhựa trong hoạt động sản xuất nông, lâm, ngư nghiệp ở việt nam; xây dựng cộng đồng dân cư không rác thải nhựa</t>
  </si>
  <si>
    <t>Dự án 7: Nâng cao chất lượng môi trường; xây dựng cảnh quan nông thôn sáng – xanh – sạch – đẹp, an toàn; giữ gìn và khôi phục cảnh quan truyền thống nông thôn.Tiểu dự án 6: Tăng cường quản lý an toàn thực phẩm tại các cơ sở, hộ gia đình sản xuất, kinh doanh thực phẩm; đảm bảo vệ sinh môi trường tại các cơ sở chăn nuôi, nuôi trồng thủy sản; cải thiện vệ sinh hộ gia đình</t>
  </si>
  <si>
    <t>Phòng Giáo dục và Đào tạo</t>
  </si>
  <si>
    <t>Dự án 5: Nâng cao chất lượng giáo dục, y tế và chăm sóc sức khỏe của người dân nông thôn. Tiểu dự án 1: Nâng cao chất lượng, phát triển giáo dục ở nông thôn</t>
  </si>
  <si>
    <t xml:space="preserve">Dự án 11: Tăng cường công tác giám sát, đánh giá thực hiện chương trình; nâng cao năng lực, truyền thông xây dựng nông thôn mới; thực hiện phong trào thi đua cả nước chung sức xây dựng nông thôn mới.Tiểu dự án 1: Nâng cao chất lượng và hiệu quả công tác kiểm tra, giám sát, đánh giá kết quả thực hiện chương trình; xây dựng hệ thống giám sát, đánh giá; nhân rộng mô hình giám sát an ninh hiện đại và giám sát của cộng đồng </t>
  </si>
  <si>
    <t>Dự án 7: Nâng cao chất lượng môi trường; xây dựng cảnh quan nông thôn sáng – xanh – sạch – đẹp, an toàn; giữ gìn và khôi phục cảnh quan truyền thống nông thôn. Tiểu dự án 1: Thực hiện các Đề án/Kế hoạch tổ chức phân loại, thu gom, vận chuyển chất thải rắn trên địa bàn huyện; phát triển, nhân rộng các mô hình phân loại chất thải tại nguồn phát sinh</t>
  </si>
  <si>
    <t>Dự án 7: Nâng cao chất lượng môi trường; xây dựng cảnh quan nông thôn sáng – xanh – sạch – đẹp, an toàn; giữ gìn và khôi phục cảnh quan truyền thống nông thôn.Tiểu dự án 3: Hỗ trợ thực hiện Chương trình tăng cường bảo vệ môi trường, an toàn thực phẩm và cấp nước sạch nông thôn trong xây dựng nông thôn mới</t>
  </si>
  <si>
    <t>Dự án 6: Truyền thông và giảm nghèo về thông tin.Tiểu dự án 3: Hỗ trợ việc làm bền vững</t>
  </si>
  <si>
    <t xml:space="preserve"> Dự án 7: Nâng cao năng lực và giám sát, đánh giá Chương trình.Tiểu dự án 1: Nâng cao năng lực thực hiện Chương trình</t>
  </si>
  <si>
    <t>Dự án 4: Phát triển giáo dục nghề nghiệp, việc làm bền vững.Tiểu dự án 3: Hỗ trợ việc làm bền vững</t>
  </si>
  <si>
    <t>Phòng Giáo dục và Đào tạo huyện</t>
  </si>
  <si>
    <t>Kế hoạch vốn còn lại</t>
  </si>
  <si>
    <t>Tỷ lệ giải ngân</t>
  </si>
  <si>
    <t xml:space="preserve">TỔNG HỢP KINH PHÍ PHÂN BỔ THỰC HIỆN 02 CHƯƠNG TRÌNH MỤC TIÊU QUỐC GIA NĂM 2024 
</t>
  </si>
  <si>
    <t>Phòng Nông nghiệp và Phát triển nông thôn huyện</t>
  </si>
  <si>
    <t>Phòng Văn hoá và Thông tin huyện</t>
  </si>
  <si>
    <t xml:space="preserve">Tổng giải ngân vốn năm 2024 </t>
  </si>
  <si>
    <t>Tiểu dự án 2: xây dựng và phát triển hiệu quả các vùng nguyên liệu tập trung, cơ giới hóa đồng bộ, nâng cao năng lực chế biến và bảo quản nông sản theo các mô hình liên kết sản xuất theo chuỗi giá trị gắn với tiêu chuẩn chất lượng và mã vùng nguyên liệu; ứng dụng công nghệ cao trong sản xuất nông nghiệp hiện đại, chuyển đổi cơ cấu sản xuất, góp phần thúc đẩy chuyển đổi số trong nông nghiệp</t>
  </si>
  <si>
    <t xml:space="preserve">Công an huyện </t>
  </si>
  <si>
    <t>Dự án 4: Nâng cao chất lượng đời sống văn hóa nông thôn; bảo tồn và phát huy các giá trị văn hóa truyền thống gắn với phát triển du lịch nông thôn. Tiểu dự án 1: Nâng cao hiệu quả hoạt động của hệ thống thiết chế văn hóa, thể thao cơ sở</t>
  </si>
  <si>
    <t>Dự án 11: Tăng cường công tác giám sát, đánh giá thực hiện chương trình; nâng cao năng lực, truyền thông xây dựng nông thôn mới; thực hiện phong trào thi đua cả nước chung sức xây dựng nông thôn mới  (Theo Quyết định 263/QĐ-TTg). Tiểu dự án 1: Nâng cao chất lượng và hiệu quả công tác kiểm tra giám sát, đánh giá kết quả thực hiện chương trình; xây dựng hệ thống giám sát, đánh giá; nhân rộng mô hình giám sát an ninh hiện đại và giám sát của cộng đồng</t>
  </si>
  <si>
    <t>Ước giải ngân đến 31 tháng 11 năm 2024</t>
  </si>
  <si>
    <t>Tỷ lệ
 ước giải ngân</t>
  </si>
  <si>
    <t xml:space="preserve">Dự án 3: Tiếp tục thực hiện có hiệu quả cơ cấu lại ngành nông nghiệp, phát triển kinh tế nông thôn. Tiểu dự án 9: Nâng cao chất lượng đào tạo nghề cho lao động nông thôn, gắn với nhu cầu của thị trường: </t>
  </si>
  <si>
    <t>Tỷ lệ 
giải ngân đến 25/11/2024</t>
  </si>
  <si>
    <t>ĐVT: triệu đồng</t>
  </si>
  <si>
    <t>(Đinh kèm Báo cáo số:        /BC-UBND ngày      /12/2024 của UBND huyện Phụng Hiệp)</t>
  </si>
  <si>
    <t>Phòng Lao động Thương binh và Xã hội</t>
  </si>
  <si>
    <t>Phòng Lao động Thương binh và Xã hội huyện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</si>
</sst>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 _$_-;\-* #,##0\ _$_-;_-* &quot;-&quot;\ _$_-;_-@_-"/>
    <numFmt numFmtId="165" formatCode="_-* #,##0.0\ _$_-;\-* #,##0.0\ _$_-;_-* &quot;-&quot;\ _$_-;_-@_-"/>
    <numFmt numFmtId="166" formatCode="#,##0.000"/>
    <numFmt numFmtId="167" formatCode="#,##0.000_);\(#,##0.000\)"/>
    <numFmt numFmtId="168" formatCode="#,##0.0"/>
  </numFmts>
  <fonts count="27" x14ac:knownFonts="1">
    <font>
      <sz val="11"/>
      <color theme="1"/>
      <name val="Calibri"/>
      <family val="2"/>
      <scheme val="minor"/>
    </font>
    <font>
      <b/>
      <sz val="13"/>
      <name val="Times New Roman"/>
      <family val="1"/>
    </font>
    <font>
      <sz val="13"/>
      <name val="Times New Roman"/>
      <family val="1"/>
    </font>
    <font>
      <i/>
      <sz val="13"/>
      <name val="Times New Roman"/>
      <family val="1"/>
    </font>
    <font>
      <sz val="11"/>
      <color theme="1"/>
      <name val="Calibri"/>
      <family val="2"/>
      <scheme val="minor"/>
    </font>
    <font>
      <sz val="8"/>
      <name val="Calibri"/>
      <family val="2"/>
      <scheme val="minor"/>
    </font>
    <font>
      <sz val="12"/>
      <name val="Times New Roman"/>
      <family val="1"/>
    </font>
    <font>
      <i/>
      <sz val="10"/>
      <name val="Times New Roman"/>
      <family val="1"/>
    </font>
    <font>
      <b/>
      <sz val="14"/>
      <name val="Times New Roman"/>
      <family val="1"/>
    </font>
    <font>
      <i/>
      <sz val="12"/>
      <name val="Times New Roman"/>
      <family val="1"/>
    </font>
    <font>
      <b/>
      <sz val="12"/>
      <name val="Times New Roman"/>
      <family val="1"/>
    </font>
    <font>
      <b/>
      <i/>
      <sz val="12"/>
      <name val="Times New Roman"/>
      <family val="1"/>
    </font>
    <font>
      <b/>
      <sz val="12"/>
      <color rgb="FF0000CC"/>
      <name val="Times New Roman"/>
      <family val="1"/>
    </font>
    <font>
      <sz val="11"/>
      <color theme="1"/>
      <name val="Times New Roman"/>
      <family val="1"/>
    </font>
    <font>
      <b/>
      <sz val="11"/>
      <color theme="1"/>
      <name val="Times New Roman"/>
      <family val="1"/>
    </font>
    <font>
      <sz val="11"/>
      <color rgb="FF0070C0"/>
      <name val="Times New Roman"/>
      <family val="1"/>
    </font>
    <font>
      <sz val="11"/>
      <color rgb="FFFF0000"/>
      <name val="Times New Roman"/>
      <family val="1"/>
    </font>
    <font>
      <sz val="11"/>
      <name val="Times New Roman"/>
      <family val="1"/>
    </font>
    <font>
      <sz val="12"/>
      <color theme="1"/>
      <name val="Calibri"/>
      <family val="2"/>
      <scheme val="minor"/>
    </font>
    <font>
      <sz val="11"/>
      <color rgb="FF000000"/>
      <name val="Calibri"/>
      <family val="2"/>
      <scheme val="minor"/>
    </font>
    <font>
      <i/>
      <sz val="11"/>
      <color theme="1"/>
      <name val="Times New Roman"/>
      <family val="1"/>
    </font>
    <font>
      <b/>
      <i/>
      <sz val="13"/>
      <name val="Times New Roman"/>
      <family val="1"/>
    </font>
    <font>
      <i/>
      <sz val="9"/>
      <name val="Times New Roman"/>
      <family val="1"/>
    </font>
    <font>
      <sz val="14"/>
      <name val="Times New Roman"/>
      <family val="1"/>
    </font>
    <font>
      <b/>
      <i/>
      <sz val="10"/>
      <name val="Times New Roman"/>
      <family val="1"/>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0">
    <xf numFmtId="0" fontId="0" fillId="0" borderId="0"/>
    <xf numFmtId="164" fontId="4" fillId="0" borderId="0" applyFont="0" applyFill="0" applyBorder="0" applyAlignment="0" applyProtection="0"/>
    <xf numFmtId="0" fontId="18" fillId="0" borderId="0"/>
    <xf numFmtId="43" fontId="18" fillId="0" borderId="0" applyFont="0" applyFill="0" applyBorder="0" applyAlignment="0" applyProtection="0"/>
    <xf numFmtId="0" fontId="4" fillId="0" borderId="0"/>
    <xf numFmtId="41" fontId="18" fillId="0" borderId="0" applyFont="0" applyFill="0" applyBorder="0" applyAlignment="0" applyProtection="0"/>
    <xf numFmtId="43" fontId="19" fillId="0" borderId="0" applyFont="0" applyFill="0" applyBorder="0" applyAlignment="0" applyProtection="0"/>
    <xf numFmtId="0" fontId="19" fillId="0" borderId="0" applyAlignment="0"/>
    <xf numFmtId="43" fontId="4" fillId="0" borderId="0" applyFont="0" applyFill="0" applyBorder="0" applyAlignment="0" applyProtection="0"/>
    <xf numFmtId="0" fontId="18" fillId="0" borderId="0"/>
  </cellStyleXfs>
  <cellXfs count="201">
    <xf numFmtId="0" fontId="0" fillId="0" borderId="0" xfId="0"/>
    <xf numFmtId="0" fontId="13"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10" fillId="0" borderId="1"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9" fillId="0" borderId="1" xfId="0" applyFont="1" applyBorder="1" applyAlignment="1">
      <alignment horizontal="center" vertical="center"/>
    </xf>
    <xf numFmtId="0" fontId="20" fillId="0" borderId="0" xfId="0" applyFont="1" applyAlignment="1">
      <alignment vertical="center"/>
    </xf>
    <xf numFmtId="0" fontId="10" fillId="0" borderId="1" xfId="0" applyFont="1" applyBorder="1" applyAlignment="1">
      <alignment horizontal="justify" vertical="center" wrapText="1"/>
    </xf>
    <xf numFmtId="0" fontId="6" fillId="0" borderId="1" xfId="0" applyFont="1" applyBorder="1" applyAlignment="1">
      <alignment horizontal="justify" vertical="center" wrapText="1"/>
    </xf>
    <xf numFmtId="165" fontId="6" fillId="0" borderId="0" xfId="1" applyNumberFormat="1" applyFont="1" applyAlignment="1">
      <alignment horizontal="right" vertical="center"/>
    </xf>
    <xf numFmtId="165" fontId="14" fillId="0" borderId="0" xfId="0" applyNumberFormat="1" applyFont="1" applyAlignment="1">
      <alignment vertical="center"/>
    </xf>
    <xf numFmtId="0" fontId="10" fillId="0" borderId="1" xfId="0" applyFont="1" applyBorder="1" applyAlignment="1">
      <alignment horizontal="center" vertical="center" wrapText="1"/>
    </xf>
    <xf numFmtId="0" fontId="6" fillId="0" borderId="0" xfId="0" applyFont="1" applyAlignment="1">
      <alignment horizontal="center" vertical="top"/>
    </xf>
    <xf numFmtId="0" fontId="6" fillId="0" borderId="0" xfId="0" applyFont="1" applyAlignment="1">
      <alignment horizontal="left" vertical="top" wrapText="1"/>
    </xf>
    <xf numFmtId="0" fontId="7" fillId="0" borderId="0" xfId="0" applyFont="1" applyAlignment="1">
      <alignment vertical="top" wrapText="1"/>
    </xf>
    <xf numFmtId="0" fontId="6" fillId="0" borderId="0" xfId="0" applyFont="1" applyAlignment="1">
      <alignment vertical="top"/>
    </xf>
    <xf numFmtId="164" fontId="6" fillId="0" borderId="0" xfId="1" applyFont="1" applyFill="1" applyAlignment="1">
      <alignment vertical="top"/>
    </xf>
    <xf numFmtId="0" fontId="3" fillId="0" borderId="0" xfId="0" applyFont="1" applyAlignment="1">
      <alignment vertical="top"/>
    </xf>
    <xf numFmtId="0" fontId="10" fillId="0" borderId="0" xfId="0" applyFont="1" applyAlignment="1">
      <alignment horizontal="center" vertical="center" wrapText="1"/>
    </xf>
    <xf numFmtId="164" fontId="22" fillId="0" borderId="1" xfId="1" applyFont="1" applyFill="1" applyBorder="1" applyAlignment="1">
      <alignment vertical="center" wrapText="1"/>
    </xf>
    <xf numFmtId="164" fontId="22" fillId="0" borderId="0" xfId="1" applyFont="1" applyFill="1" applyAlignment="1">
      <alignment vertical="center" wrapText="1"/>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pplyAlignment="1">
      <alignment vertical="center"/>
    </xf>
    <xf numFmtId="0" fontId="9" fillId="0" borderId="0" xfId="0" applyFont="1" applyAlignment="1">
      <alignment vertical="center"/>
    </xf>
    <xf numFmtId="164" fontId="14" fillId="0" borderId="0" xfId="0" applyNumberFormat="1" applyFont="1" applyAlignment="1">
      <alignment horizontal="center" vertical="center"/>
    </xf>
    <xf numFmtId="164" fontId="10" fillId="0" borderId="1" xfId="1" applyFont="1" applyBorder="1" applyAlignment="1">
      <alignment horizontal="center" vertical="center"/>
    </xf>
    <xf numFmtId="164" fontId="6" fillId="0" borderId="1" xfId="1" applyFont="1" applyBorder="1" applyAlignment="1">
      <alignment horizontal="center" vertical="center"/>
    </xf>
    <xf numFmtId="164" fontId="22" fillId="0" borderId="1" xfId="1" quotePrefix="1" applyFont="1" applyFill="1" applyBorder="1" applyAlignment="1">
      <alignment vertical="center" wrapText="1"/>
    </xf>
    <xf numFmtId="164" fontId="11" fillId="0" borderId="1" xfId="1" applyFont="1" applyFill="1" applyBorder="1" applyAlignment="1">
      <alignment horizontal="center" vertical="center" wrapText="1"/>
    </xf>
    <xf numFmtId="0" fontId="11" fillId="0" borderId="1" xfId="0" applyFont="1" applyBorder="1" applyAlignment="1">
      <alignment horizontal="center" vertical="center" wrapText="1"/>
    </xf>
    <xf numFmtId="165" fontId="11" fillId="0" borderId="1" xfId="1" applyNumberFormat="1" applyFont="1" applyBorder="1" applyAlignment="1">
      <alignment horizontal="center" vertical="center" wrapText="1"/>
    </xf>
    <xf numFmtId="164" fontId="22" fillId="0" borderId="1" xfId="1" quotePrefix="1" applyFont="1" applyFill="1" applyBorder="1" applyAlignment="1">
      <alignment horizontal="center" vertical="center" wrapText="1"/>
    </xf>
    <xf numFmtId="166" fontId="6" fillId="0" borderId="1" xfId="1" applyNumberFormat="1" applyFont="1" applyFill="1" applyBorder="1" applyAlignment="1">
      <alignment horizontal="right" vertical="center"/>
    </xf>
    <xf numFmtId="0" fontId="2" fillId="0" borderId="1" xfId="0" applyFont="1" applyBorder="1" applyAlignment="1">
      <alignment horizontal="justify" vertical="center" wrapText="1"/>
    </xf>
    <xf numFmtId="167" fontId="10" fillId="0" borderId="0" xfId="0" applyNumberFormat="1" applyFont="1" applyAlignment="1">
      <alignment horizontal="center" vertical="center"/>
    </xf>
    <xf numFmtId="167" fontId="12" fillId="0" borderId="0" xfId="0" applyNumberFormat="1" applyFont="1" applyAlignment="1">
      <alignment vertical="center"/>
    </xf>
    <xf numFmtId="167" fontId="10" fillId="0" borderId="0" xfId="0" applyNumberFormat="1" applyFont="1" applyAlignment="1">
      <alignment vertical="center"/>
    </xf>
    <xf numFmtId="0" fontId="1" fillId="0" borderId="1" xfId="0" applyFont="1" applyBorder="1" applyAlignment="1">
      <alignment horizontal="justify" vertical="center" wrapText="1"/>
    </xf>
    <xf numFmtId="0" fontId="6" fillId="0" borderId="1" xfId="0" applyFont="1" applyBorder="1" applyAlignment="1">
      <alignment horizontal="center" vertical="top"/>
    </xf>
    <xf numFmtId="0" fontId="10" fillId="0" borderId="1" xfId="0" applyFont="1" applyBorder="1" applyAlignment="1">
      <alignment horizontal="center" vertical="top"/>
    </xf>
    <xf numFmtId="0" fontId="10" fillId="0" borderId="1" xfId="0" applyFont="1" applyBorder="1" applyAlignment="1">
      <alignment horizontal="left" vertical="top" wrapText="1"/>
    </xf>
    <xf numFmtId="0" fontId="23" fillId="0" borderId="1" xfId="2" applyFont="1" applyBorder="1" applyAlignment="1">
      <alignment vertical="center" wrapText="1"/>
    </xf>
    <xf numFmtId="0" fontId="23" fillId="0" borderId="1" xfId="4" applyFont="1" applyBorder="1" applyAlignment="1">
      <alignment vertical="center" wrapText="1"/>
    </xf>
    <xf numFmtId="0" fontId="23" fillId="0" borderId="1" xfId="2" applyFont="1" applyBorder="1" applyAlignment="1">
      <alignment vertical="center"/>
    </xf>
    <xf numFmtId="0" fontId="23" fillId="0" borderId="1" xfId="2" quotePrefix="1" applyFont="1" applyBorder="1" applyAlignment="1">
      <alignment vertical="center" wrapText="1"/>
    </xf>
    <xf numFmtId="0" fontId="6" fillId="0" borderId="1" xfId="9" applyFont="1" applyBorder="1" applyAlignment="1">
      <alignment vertical="center" wrapText="1"/>
    </xf>
    <xf numFmtId="166" fontId="10" fillId="0" borderId="1" xfId="1" applyNumberFormat="1" applyFont="1" applyFill="1" applyBorder="1" applyAlignment="1">
      <alignment horizontal="right" vertical="center"/>
    </xf>
    <xf numFmtId="166" fontId="7" fillId="0" borderId="1" xfId="0" applyNumberFormat="1" applyFont="1" applyBorder="1" applyAlignment="1">
      <alignment horizontal="center" vertical="center" wrapText="1"/>
    </xf>
    <xf numFmtId="166" fontId="10" fillId="0" borderId="1" xfId="0" applyNumberFormat="1" applyFont="1" applyBorder="1" applyAlignment="1">
      <alignment vertical="center"/>
    </xf>
    <xf numFmtId="166" fontId="7" fillId="0" borderId="1" xfId="0" applyNumberFormat="1" applyFont="1" applyBorder="1" applyAlignment="1">
      <alignment vertical="center" wrapText="1"/>
    </xf>
    <xf numFmtId="166" fontId="7" fillId="0" borderId="1" xfId="0" applyNumberFormat="1" applyFont="1" applyBorder="1" applyAlignment="1">
      <alignment horizontal="left" vertical="center" wrapText="1"/>
    </xf>
    <xf numFmtId="166" fontId="6" fillId="2" borderId="1" xfId="1" applyNumberFormat="1" applyFont="1" applyFill="1" applyBorder="1" applyAlignment="1">
      <alignment horizontal="right" vertical="center"/>
    </xf>
    <xf numFmtId="166" fontId="6" fillId="0" borderId="1" xfId="0" applyNumberFormat="1" applyFont="1" applyBorder="1" applyAlignment="1">
      <alignment vertical="center"/>
    </xf>
    <xf numFmtId="166" fontId="9" fillId="0" borderId="1" xfId="1" applyNumberFormat="1" applyFont="1" applyFill="1" applyBorder="1" applyAlignment="1">
      <alignment vertical="center"/>
    </xf>
    <xf numFmtId="166" fontId="1" fillId="0" borderId="1" xfId="8" applyNumberFormat="1" applyFont="1" applyFill="1" applyBorder="1" applyAlignment="1">
      <alignment vertical="center"/>
    </xf>
    <xf numFmtId="166" fontId="10" fillId="0" borderId="1" xfId="1" applyNumberFormat="1" applyFont="1" applyFill="1" applyBorder="1" applyAlignment="1">
      <alignment vertical="center"/>
    </xf>
    <xf numFmtId="166" fontId="6" fillId="0" borderId="1" xfId="1" applyNumberFormat="1" applyFont="1" applyFill="1" applyBorder="1" applyAlignment="1">
      <alignment vertical="top"/>
    </xf>
    <xf numFmtId="166" fontId="10" fillId="0" borderId="1" xfId="1" applyNumberFormat="1" applyFont="1" applyFill="1" applyBorder="1" applyAlignment="1">
      <alignment vertical="top"/>
    </xf>
    <xf numFmtId="166" fontId="10" fillId="0" borderId="1" xfId="1" applyNumberFormat="1" applyFont="1" applyFill="1" applyBorder="1" applyAlignment="1">
      <alignment horizontal="right" vertical="top"/>
    </xf>
    <xf numFmtId="166" fontId="24" fillId="0" borderId="1" xfId="0" applyNumberFormat="1" applyFont="1" applyBorder="1" applyAlignment="1">
      <alignment vertical="top" wrapText="1"/>
    </xf>
    <xf numFmtId="166" fontId="7" fillId="0" borderId="1" xfId="0" applyNumberFormat="1" applyFont="1" applyBorder="1" applyAlignment="1">
      <alignment vertical="top" wrapText="1"/>
    </xf>
    <xf numFmtId="166" fontId="6" fillId="0" borderId="1" xfId="1" applyNumberFormat="1" applyFont="1" applyFill="1" applyBorder="1" applyAlignment="1">
      <alignment horizontal="center" vertical="top"/>
    </xf>
    <xf numFmtId="166" fontId="6" fillId="0" borderId="1" xfId="7" applyNumberFormat="1" applyFont="1" applyBorder="1" applyAlignment="1">
      <alignment horizontal="right" vertical="center" wrapText="1"/>
    </xf>
    <xf numFmtId="167" fontId="10" fillId="0" borderId="0" xfId="0" applyNumberFormat="1" applyFont="1" applyAlignment="1">
      <alignment horizontal="center" vertical="center" wrapText="1"/>
    </xf>
    <xf numFmtId="166" fontId="10" fillId="0" borderId="0" xfId="0" applyNumberFormat="1" applyFont="1" applyAlignment="1">
      <alignment horizontal="center" vertical="center" wrapText="1"/>
    </xf>
    <xf numFmtId="167" fontId="10" fillId="0" borderId="0" xfId="0" applyNumberFormat="1" applyFont="1" applyAlignment="1">
      <alignment horizontal="right" vertical="center"/>
    </xf>
    <xf numFmtId="166" fontId="10" fillId="0" borderId="0" xfId="0" applyNumberFormat="1" applyFont="1" applyAlignment="1">
      <alignment vertical="center"/>
    </xf>
    <xf numFmtId="166" fontId="2" fillId="0" borderId="1" xfId="8" applyNumberFormat="1" applyFont="1" applyFill="1" applyBorder="1" applyAlignment="1">
      <alignment vertical="center"/>
    </xf>
    <xf numFmtId="166" fontId="2" fillId="0" borderId="1" xfId="1" applyNumberFormat="1" applyFont="1" applyFill="1" applyBorder="1" applyAlignment="1">
      <alignment horizontal="right" vertical="center"/>
    </xf>
    <xf numFmtId="166" fontId="2" fillId="0" borderId="1" xfId="8" applyNumberFormat="1" applyFont="1" applyFill="1" applyBorder="1" applyAlignment="1">
      <alignment horizontal="right" vertical="center" wrapText="1"/>
    </xf>
    <xf numFmtId="166" fontId="2" fillId="0" borderId="1" xfId="8" applyNumberFormat="1" applyFont="1" applyFill="1" applyBorder="1" applyAlignment="1">
      <alignment horizontal="right" vertical="center"/>
    </xf>
    <xf numFmtId="165" fontId="11" fillId="0" borderId="1" xfId="1" applyNumberFormat="1" applyFont="1" applyFill="1" applyBorder="1" applyAlignment="1">
      <alignment horizontal="center" vertical="center" wrapText="1"/>
    </xf>
    <xf numFmtId="164" fontId="10" fillId="0" borderId="1" xfId="1" applyFont="1" applyFill="1" applyBorder="1" applyAlignment="1">
      <alignment horizontal="right" vertical="center" wrapText="1"/>
    </xf>
    <xf numFmtId="166" fontId="10" fillId="0" borderId="1" xfId="1" applyNumberFormat="1" applyFont="1" applyFill="1" applyBorder="1" applyAlignment="1">
      <alignment horizontal="right" vertical="center" wrapText="1"/>
    </xf>
    <xf numFmtId="166" fontId="6" fillId="0" borderId="1" xfId="1" applyNumberFormat="1" applyFont="1" applyFill="1" applyBorder="1" applyAlignment="1">
      <alignment horizontal="right" vertical="center" wrapText="1"/>
    </xf>
    <xf numFmtId="166" fontId="9" fillId="0" borderId="1" xfId="1" applyNumberFormat="1" applyFont="1" applyFill="1" applyBorder="1" applyAlignment="1">
      <alignment horizontal="right" vertical="center" wrapText="1"/>
    </xf>
    <xf numFmtId="164" fontId="3" fillId="0" borderId="1" xfId="1" applyFont="1" applyFill="1" applyBorder="1" applyAlignment="1">
      <alignment horizontal="right" vertical="center" wrapText="1"/>
    </xf>
    <xf numFmtId="166" fontId="3" fillId="0" borderId="1" xfId="1" applyNumberFormat="1" applyFont="1" applyFill="1" applyBorder="1" applyAlignment="1">
      <alignment horizontal="right" vertical="center" wrapText="1"/>
    </xf>
    <xf numFmtId="167" fontId="10" fillId="0" borderId="1" xfId="1" applyNumberFormat="1" applyFont="1" applyFill="1" applyBorder="1" applyAlignment="1">
      <alignment horizontal="right" vertical="center" wrapText="1"/>
    </xf>
    <xf numFmtId="166" fontId="2" fillId="0" borderId="1" xfId="1" applyNumberFormat="1" applyFont="1" applyFill="1" applyBorder="1" applyAlignment="1">
      <alignment vertical="center"/>
    </xf>
    <xf numFmtId="166" fontId="2" fillId="0" borderId="1" xfId="1" applyNumberFormat="1" applyFont="1" applyFill="1" applyBorder="1" applyAlignment="1">
      <alignment horizontal="right" vertical="center" wrapText="1"/>
    </xf>
    <xf numFmtId="166" fontId="1" fillId="0" borderId="1" xfId="1" applyNumberFormat="1" applyFont="1" applyFill="1" applyBorder="1" applyAlignment="1">
      <alignment vertical="center"/>
    </xf>
    <xf numFmtId="4" fontId="6" fillId="0" borderId="1" xfId="8" applyNumberFormat="1" applyFont="1" applyFill="1" applyBorder="1" applyAlignment="1">
      <alignment horizontal="right" vertical="center"/>
    </xf>
    <xf numFmtId="165" fontId="11" fillId="0" borderId="1" xfId="1" applyNumberFormat="1" applyFont="1" applyFill="1" applyBorder="1" applyAlignment="1">
      <alignment horizontal="center" vertical="center"/>
    </xf>
    <xf numFmtId="164" fontId="6" fillId="0" borderId="1" xfId="1" applyFont="1" applyFill="1" applyBorder="1" applyAlignment="1">
      <alignment horizontal="right" vertical="center" wrapText="1"/>
    </xf>
    <xf numFmtId="39" fontId="10" fillId="0" borderId="1" xfId="1" applyNumberFormat="1" applyFont="1" applyFill="1" applyBorder="1" applyAlignment="1">
      <alignment horizontal="right" vertical="center" wrapText="1"/>
    </xf>
    <xf numFmtId="167" fontId="6" fillId="0" borderId="0" xfId="1" applyNumberFormat="1" applyFont="1" applyFill="1" applyAlignment="1">
      <alignment vertical="top"/>
    </xf>
    <xf numFmtId="166" fontId="2" fillId="0" borderId="0" xfId="1" applyNumberFormat="1" applyFont="1" applyFill="1" applyBorder="1" applyAlignment="1">
      <alignment vertical="center"/>
    </xf>
    <xf numFmtId="2" fontId="2" fillId="0" borderId="0" xfId="1" applyNumberFormat="1" applyFont="1" applyFill="1" applyBorder="1" applyAlignment="1">
      <alignment vertical="center"/>
    </xf>
    <xf numFmtId="164" fontId="2" fillId="0" borderId="0" xfId="1" applyFont="1" applyFill="1" applyBorder="1" applyAlignment="1">
      <alignment vertical="center"/>
    </xf>
    <xf numFmtId="167" fontId="2" fillId="0" borderId="0" xfId="1" applyNumberFormat="1" applyFont="1" applyFill="1" applyBorder="1" applyAlignment="1">
      <alignment vertical="center"/>
    </xf>
    <xf numFmtId="3" fontId="10" fillId="0" borderId="1" xfId="1" applyNumberFormat="1" applyFont="1" applyFill="1" applyBorder="1" applyAlignment="1">
      <alignment horizontal="right" vertical="center"/>
    </xf>
    <xf numFmtId="3" fontId="10" fillId="0" borderId="1" xfId="8" applyNumberFormat="1" applyFont="1" applyFill="1" applyBorder="1" applyAlignment="1">
      <alignment horizontal="right" vertical="center"/>
    </xf>
    <xf numFmtId="3" fontId="6" fillId="0" borderId="1" xfId="1" applyNumberFormat="1" applyFont="1" applyFill="1" applyBorder="1" applyAlignment="1">
      <alignment horizontal="right" vertical="center"/>
    </xf>
    <xf numFmtId="3" fontId="9" fillId="0" borderId="1" xfId="1" applyNumberFormat="1" applyFont="1" applyFill="1" applyBorder="1" applyAlignment="1">
      <alignment vertical="center"/>
    </xf>
    <xf numFmtId="3" fontId="6" fillId="0" borderId="1" xfId="1" applyNumberFormat="1" applyFont="1" applyFill="1" applyBorder="1" applyAlignment="1">
      <alignment vertical="center"/>
    </xf>
    <xf numFmtId="39" fontId="6" fillId="0" borderId="1" xfId="1" applyNumberFormat="1" applyFont="1" applyFill="1" applyBorder="1" applyAlignment="1">
      <alignment horizontal="right" vertical="center" wrapText="1"/>
    </xf>
    <xf numFmtId="4" fontId="10" fillId="0" borderId="1" xfId="8" applyNumberFormat="1" applyFont="1" applyFill="1" applyBorder="1" applyAlignment="1">
      <alignment horizontal="right" vertical="center"/>
    </xf>
    <xf numFmtId="4" fontId="10" fillId="0" borderId="1" xfId="1" applyNumberFormat="1" applyFont="1" applyFill="1" applyBorder="1" applyAlignment="1">
      <alignment horizontal="right" vertical="center"/>
    </xf>
    <xf numFmtId="166" fontId="6" fillId="0" borderId="1" xfId="8" applyNumberFormat="1" applyFont="1" applyFill="1" applyBorder="1" applyAlignment="1">
      <alignment horizontal="right" vertical="center"/>
    </xf>
    <xf numFmtId="4" fontId="6" fillId="0" borderId="1" xfId="1" applyNumberFormat="1" applyFont="1" applyFill="1" applyBorder="1" applyAlignment="1">
      <alignment horizontal="right" vertical="center"/>
    </xf>
    <xf numFmtId="0" fontId="25" fillId="0" borderId="0" xfId="0" applyFont="1"/>
    <xf numFmtId="0" fontId="6" fillId="0" borderId="0" xfId="0" applyFont="1" applyAlignment="1">
      <alignment horizontal="center"/>
    </xf>
    <xf numFmtId="0" fontId="6" fillId="0" borderId="0" xfId="0" applyFont="1"/>
    <xf numFmtId="3" fontId="10" fillId="0" borderId="1" xfId="0" applyNumberFormat="1" applyFont="1" applyBorder="1" applyAlignment="1">
      <alignment horizontal="center" vertical="center" wrapText="1"/>
    </xf>
    <xf numFmtId="166" fontId="25" fillId="0" borderId="0" xfId="0" applyNumberFormat="1" applyFont="1"/>
    <xf numFmtId="0" fontId="6" fillId="0" borderId="1" xfId="0" applyFont="1" applyBorder="1" applyAlignment="1">
      <alignment horizontal="left" vertical="center" wrapText="1"/>
    </xf>
    <xf numFmtId="166" fontId="6" fillId="0" borderId="1" xfId="0" applyNumberFormat="1" applyFont="1" applyBorder="1" applyAlignment="1">
      <alignment horizontal="right" vertical="center"/>
    </xf>
    <xf numFmtId="3" fontId="25" fillId="0" borderId="0" xfId="0" applyNumberFormat="1" applyFont="1"/>
    <xf numFmtId="0" fontId="6" fillId="0" borderId="1" xfId="0" applyFont="1" applyBorder="1" applyAlignment="1">
      <alignment vertical="center"/>
    </xf>
    <xf numFmtId="0" fontId="6" fillId="0" borderId="1" xfId="0" applyFont="1" applyBorder="1" applyAlignment="1">
      <alignment horizontal="left" vertical="center"/>
    </xf>
    <xf numFmtId="0" fontId="25" fillId="0" borderId="1" xfId="0" applyFont="1" applyBorder="1" applyAlignment="1">
      <alignment horizontal="center"/>
    </xf>
    <xf numFmtId="0" fontId="6" fillId="0" borderId="1" xfId="0" applyFont="1" applyBorder="1" applyAlignment="1">
      <alignment vertical="center" wrapText="1"/>
    </xf>
    <xf numFmtId="166" fontId="25" fillId="0" borderId="1" xfId="0" applyNumberFormat="1" applyFont="1" applyBorder="1" applyAlignment="1">
      <alignment horizontal="right"/>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xf>
    <xf numFmtId="3" fontId="26" fillId="0" borderId="1" xfId="0" applyNumberFormat="1" applyFont="1" applyBorder="1" applyAlignment="1">
      <alignment vertical="center"/>
    </xf>
    <xf numFmtId="0" fontId="10" fillId="0" borderId="1" xfId="0" applyFont="1" applyBorder="1" applyAlignment="1">
      <alignment horizontal="left" vertical="center" wrapText="1"/>
    </xf>
    <xf numFmtId="166" fontId="2" fillId="0" borderId="1" xfId="0" applyNumberFormat="1" applyFont="1" applyBorder="1" applyAlignment="1">
      <alignment vertical="center"/>
    </xf>
    <xf numFmtId="3" fontId="2" fillId="0" borderId="1" xfId="0" applyNumberFormat="1" applyFont="1" applyBorder="1" applyAlignment="1">
      <alignment vertical="center"/>
    </xf>
    <xf numFmtId="3" fontId="25" fillId="0" borderId="1" xfId="0" applyNumberFormat="1"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166" fontId="1"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10" fillId="0" borderId="1" xfId="0" applyFont="1" applyBorder="1" applyAlignment="1">
      <alignment horizontal="left" vertical="center"/>
    </xf>
    <xf numFmtId="166" fontId="21" fillId="0" borderId="1" xfId="0" applyNumberFormat="1" applyFont="1" applyBorder="1" applyAlignment="1">
      <alignment vertical="center"/>
    </xf>
    <xf numFmtId="0" fontId="21" fillId="0" borderId="0" xfId="0" applyFont="1" applyAlignment="1">
      <alignment vertical="center"/>
    </xf>
    <xf numFmtId="0" fontId="9" fillId="0" borderId="1" xfId="0" applyFont="1" applyBorder="1" applyAlignment="1">
      <alignment horizontal="center" vertical="center" wrapText="1"/>
    </xf>
    <xf numFmtId="166" fontId="3" fillId="0" borderId="1" xfId="0" applyNumberFormat="1" applyFont="1" applyBorder="1" applyAlignment="1">
      <alignment vertical="center"/>
    </xf>
    <xf numFmtId="166" fontId="10" fillId="0" borderId="1" xfId="0" applyNumberFormat="1" applyFont="1" applyBorder="1" applyAlignment="1">
      <alignment horizontal="right" vertical="center"/>
    </xf>
    <xf numFmtId="0" fontId="10" fillId="0" borderId="1" xfId="0" applyFont="1" applyBorder="1" applyAlignment="1">
      <alignment vertical="center"/>
    </xf>
    <xf numFmtId="0" fontId="2" fillId="0" borderId="1" xfId="0" applyFont="1" applyBorder="1" applyAlignment="1">
      <alignment horizontal="center" vertical="center" wrapText="1"/>
    </xf>
    <xf numFmtId="2" fontId="2" fillId="0" borderId="0" xfId="0" applyNumberFormat="1" applyFont="1" applyAlignment="1">
      <alignment horizontal="center" vertical="center"/>
    </xf>
    <xf numFmtId="2" fontId="2" fillId="0" borderId="0" xfId="0" applyNumberFormat="1" applyFont="1" applyAlignment="1">
      <alignment vertical="center"/>
    </xf>
    <xf numFmtId="166" fontId="2" fillId="0" borderId="0" xfId="0" applyNumberFormat="1" applyFont="1" applyAlignment="1">
      <alignment vertical="center"/>
    </xf>
    <xf numFmtId="166" fontId="10" fillId="0" borderId="1" xfId="0" applyNumberFormat="1" applyFont="1" applyBorder="1" applyAlignment="1">
      <alignment horizontal="center" vertical="center"/>
    </xf>
    <xf numFmtId="166" fontId="10" fillId="0" borderId="1" xfId="0" applyNumberFormat="1" applyFont="1" applyBorder="1" applyAlignment="1">
      <alignment horizontal="center" vertical="center" wrapText="1"/>
    </xf>
    <xf numFmtId="168" fontId="10" fillId="0" borderId="1" xfId="0" applyNumberFormat="1" applyFont="1" applyBorder="1" applyAlignment="1">
      <alignment horizontal="right" vertical="center"/>
    </xf>
    <xf numFmtId="166" fontId="10" fillId="0" borderId="0" xfId="0" applyNumberFormat="1" applyFont="1" applyAlignment="1">
      <alignment horizontal="center" vertical="center"/>
    </xf>
    <xf numFmtId="3" fontId="6" fillId="0" borderId="1" xfId="0" applyNumberFormat="1" applyFont="1" applyBorder="1" applyAlignment="1">
      <alignment horizontal="right" vertical="center"/>
    </xf>
    <xf numFmtId="168" fontId="6" fillId="0" borderId="1" xfId="0" applyNumberFormat="1" applyFont="1" applyBorder="1" applyAlignment="1">
      <alignment horizontal="right" vertical="center"/>
    </xf>
    <xf numFmtId="3" fontId="10" fillId="0" borderId="1" xfId="0" applyNumberFormat="1" applyFont="1" applyBorder="1" applyAlignment="1">
      <alignment horizontal="right" vertical="center"/>
    </xf>
    <xf numFmtId="3" fontId="6" fillId="0" borderId="1" xfId="0" applyNumberFormat="1" applyFont="1" applyBorder="1" applyAlignment="1">
      <alignment vertical="center"/>
    </xf>
    <xf numFmtId="166" fontId="25" fillId="0" borderId="1" xfId="0" applyNumberFormat="1" applyFont="1" applyBorder="1" applyAlignment="1">
      <alignment horizontal="right" vertical="center"/>
    </xf>
    <xf numFmtId="0" fontId="9" fillId="0" borderId="0" xfId="0" applyFont="1" applyAlignment="1">
      <alignment vertical="top"/>
    </xf>
    <xf numFmtId="0" fontId="3" fillId="0" borderId="0" xfId="0" applyFont="1" applyAlignment="1">
      <alignment vertical="center"/>
    </xf>
    <xf numFmtId="166" fontId="26" fillId="0" borderId="1" xfId="0" applyNumberFormat="1" applyFont="1" applyBorder="1"/>
    <xf numFmtId="166" fontId="25" fillId="0" borderId="1" xfId="0" applyNumberFormat="1" applyFont="1" applyBorder="1" applyAlignment="1">
      <alignment vertical="center"/>
    </xf>
    <xf numFmtId="0" fontId="10" fillId="0" borderId="1" xfId="0" applyFont="1" applyBorder="1" applyAlignment="1">
      <alignment horizontal="center" vertical="center" wrapText="1"/>
    </xf>
    <xf numFmtId="3" fontId="9" fillId="0" borderId="0" xfId="0" applyNumberFormat="1" applyFont="1" applyAlignment="1">
      <alignment horizontal="right" vertical="center"/>
    </xf>
    <xf numFmtId="0" fontId="10" fillId="0" borderId="0" xfId="0" applyFont="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165" fontId="10" fillId="0" borderId="2" xfId="1" applyNumberFormat="1" applyFont="1" applyBorder="1" applyAlignment="1">
      <alignment horizontal="center" vertical="center" wrapText="1"/>
    </xf>
    <xf numFmtId="165" fontId="10" fillId="0" borderId="6" xfId="1" applyNumberFormat="1" applyFont="1" applyBorder="1" applyAlignment="1">
      <alignment horizontal="center" vertical="center" wrapText="1"/>
    </xf>
    <xf numFmtId="165" fontId="10" fillId="0" borderId="3" xfId="1"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165" fontId="10" fillId="0" borderId="1" xfId="1" applyNumberFormat="1" applyFont="1" applyFill="1" applyBorder="1" applyAlignment="1">
      <alignment horizontal="center" vertical="center" wrapText="1"/>
    </xf>
    <xf numFmtId="0" fontId="11" fillId="0" borderId="8" xfId="0" applyFont="1" applyBorder="1" applyAlignment="1">
      <alignment horizontal="center"/>
    </xf>
    <xf numFmtId="0" fontId="1" fillId="0" borderId="0" xfId="0" applyFont="1" applyAlignment="1">
      <alignment horizontal="center" vertical="center" wrapText="1"/>
    </xf>
    <xf numFmtId="0" fontId="3" fillId="0" borderId="0" xfId="0" applyFont="1" applyAlignment="1">
      <alignment horizontal="center" vertical="center"/>
    </xf>
    <xf numFmtId="165" fontId="10" fillId="0" borderId="4" xfId="1" applyNumberFormat="1" applyFont="1" applyFill="1" applyBorder="1" applyAlignment="1">
      <alignment horizontal="center" vertical="center" wrapText="1"/>
    </xf>
    <xf numFmtId="165" fontId="10" fillId="0" borderId="5" xfId="1"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164" fontId="11" fillId="0" borderId="4" xfId="1" applyFont="1" applyFill="1" applyBorder="1" applyAlignment="1">
      <alignment horizontal="center" vertical="center" wrapText="1"/>
    </xf>
    <xf numFmtId="164" fontId="11" fillId="0" borderId="5" xfId="1" applyFont="1" applyFill="1" applyBorder="1" applyAlignment="1">
      <alignment horizontal="center" vertical="center" wrapText="1"/>
    </xf>
    <xf numFmtId="164" fontId="11" fillId="0" borderId="2" xfId="1" applyFont="1" applyFill="1" applyBorder="1" applyAlignment="1">
      <alignment horizontal="center" vertical="center" wrapText="1"/>
    </xf>
    <xf numFmtId="164" fontId="11" fillId="0" borderId="3" xfId="1" applyFont="1" applyFill="1" applyBorder="1" applyAlignment="1">
      <alignment horizontal="center" vertical="center" wrapText="1"/>
    </xf>
    <xf numFmtId="164" fontId="10" fillId="0" borderId="2" xfId="1" applyFont="1" applyFill="1" applyBorder="1" applyAlignment="1">
      <alignment horizontal="center" vertical="center" wrapText="1"/>
    </xf>
    <xf numFmtId="164" fontId="10" fillId="0" borderId="6" xfId="1" applyFont="1" applyFill="1" applyBorder="1" applyAlignment="1">
      <alignment horizontal="center" vertical="center" wrapText="1"/>
    </xf>
    <xf numFmtId="164" fontId="10" fillId="0" borderId="3" xfId="1" applyFont="1" applyFill="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horizontal="center" vertical="top" wrapText="1"/>
    </xf>
    <xf numFmtId="164" fontId="10" fillId="0" borderId="4" xfId="1" applyFont="1" applyFill="1" applyBorder="1" applyAlignment="1">
      <alignment horizontal="center" vertical="center" wrapText="1"/>
    </xf>
    <xf numFmtId="164" fontId="10" fillId="0" borderId="7" xfId="1" applyFont="1" applyFill="1" applyBorder="1" applyAlignment="1">
      <alignment horizontal="center" vertical="center" wrapText="1"/>
    </xf>
    <xf numFmtId="164" fontId="10" fillId="0" borderId="5" xfId="1" applyFont="1" applyFill="1" applyBorder="1" applyAlignment="1">
      <alignment horizontal="center" vertical="center" wrapText="1"/>
    </xf>
    <xf numFmtId="0" fontId="10" fillId="0" borderId="0" xfId="0" applyFont="1" applyAlignment="1">
      <alignment horizontal="center"/>
    </xf>
    <xf numFmtId="0" fontId="10" fillId="0" borderId="0" xfId="0" applyFont="1" applyAlignment="1">
      <alignment horizontal="center" wrapText="1"/>
    </xf>
    <xf numFmtId="3" fontId="10" fillId="0" borderId="1" xfId="0" applyNumberFormat="1" applyFont="1" applyBorder="1" applyAlignment="1">
      <alignment horizontal="center" vertical="center"/>
    </xf>
    <xf numFmtId="3" fontId="10" fillId="0" borderId="1" xfId="0" applyNumberFormat="1" applyFont="1" applyBorder="1" applyAlignment="1">
      <alignment horizontal="center"/>
    </xf>
    <xf numFmtId="0" fontId="10" fillId="0" borderId="1" xfId="0" applyFont="1" applyBorder="1" applyAlignment="1">
      <alignment horizontal="center" vertical="center"/>
    </xf>
    <xf numFmtId="0" fontId="9" fillId="0" borderId="0" xfId="0" applyFont="1" applyAlignment="1">
      <alignment horizontal="center" wrapText="1"/>
    </xf>
    <xf numFmtId="3" fontId="10" fillId="0" borderId="4"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0" fontId="9" fillId="0" borderId="0" xfId="0" applyFont="1" applyAlignment="1">
      <alignment horizontal="right" vertical="top"/>
    </xf>
  </cellXfs>
  <cellStyles count="10">
    <cellStyle name="Comma" xfId="8" builtinId="3"/>
    <cellStyle name="Comma [0]" xfId="1" builtinId="6"/>
    <cellStyle name="Comma [0] 15" xfId="5"/>
    <cellStyle name="Comma 530" xfId="6"/>
    <cellStyle name="Comma 535 2" xfId="3"/>
    <cellStyle name="Normal" xfId="0" builtinId="0"/>
    <cellStyle name="Normal 10 2" xfId="4"/>
    <cellStyle name="Normal 178" xfId="7"/>
    <cellStyle name="Normal 188" xfId="2"/>
    <cellStyle name="Normal 4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6"/>
  <sheetViews>
    <sheetView zoomScaleNormal="100" workbookViewId="0">
      <selection activeCell="J7" sqref="J7"/>
    </sheetView>
  </sheetViews>
  <sheetFormatPr defaultColWidth="8.85546875" defaultRowHeight="15.75" x14ac:dyDescent="0.25"/>
  <cols>
    <col min="1" max="1" width="5.85546875" style="2" customWidth="1"/>
    <col min="2" max="2" width="66.85546875" style="3" customWidth="1"/>
    <col min="3" max="3" width="6.85546875" style="3" bestFit="1" customWidth="1"/>
    <col min="4" max="4" width="9" style="3" bestFit="1" customWidth="1"/>
    <col min="5" max="5" width="10.140625" style="3" bestFit="1" customWidth="1"/>
    <col min="6" max="6" width="6.85546875" style="3" bestFit="1" customWidth="1"/>
    <col min="7" max="7" width="9" style="3" bestFit="1" customWidth="1"/>
    <col min="8" max="8" width="11" style="3" customWidth="1"/>
    <col min="9" max="9" width="6.85546875" style="4" bestFit="1" customWidth="1"/>
    <col min="10" max="10" width="9" style="4" bestFit="1" customWidth="1"/>
    <col min="11" max="11" width="10.140625" style="4" bestFit="1" customWidth="1"/>
    <col min="12" max="12" width="6.85546875" style="4" bestFit="1" customWidth="1"/>
    <col min="13" max="13" width="9" style="18" bestFit="1" customWidth="1"/>
    <col min="14" max="14" width="10.140625" style="18" bestFit="1" customWidth="1"/>
    <col min="15" max="15" width="6.85546875" style="18" bestFit="1" customWidth="1"/>
    <col min="16" max="16" width="9" style="18" bestFit="1" customWidth="1"/>
    <col min="17" max="17" width="10.140625" style="18" customWidth="1"/>
    <col min="18" max="18" width="6.85546875" style="18" bestFit="1" customWidth="1"/>
    <col min="19" max="19" width="9" style="18" bestFit="1" customWidth="1"/>
    <col min="20" max="20" width="10.140625" style="18" bestFit="1" customWidth="1"/>
    <col min="21" max="21" width="6.85546875" style="18" hidden="1" customWidth="1"/>
    <col min="22" max="22" width="9" style="18" hidden="1" customWidth="1"/>
    <col min="23" max="23" width="10.140625" style="18" hidden="1" customWidth="1"/>
    <col min="24" max="24" width="6.85546875" style="18" hidden="1" customWidth="1"/>
    <col min="25" max="25" width="9" style="18" hidden="1" customWidth="1"/>
    <col min="26" max="26" width="10.140625" style="18" hidden="1" customWidth="1"/>
    <col min="27" max="27" width="8.28515625" style="13" bestFit="1" customWidth="1"/>
    <col min="28" max="28" width="9.28515625" style="1" bestFit="1" customWidth="1"/>
    <col min="29" max="29" width="19" style="1" customWidth="1"/>
    <col min="30" max="30" width="12.140625" style="1" bestFit="1" customWidth="1"/>
    <col min="31" max="16384" width="8.85546875" style="1"/>
  </cols>
  <sheetData>
    <row r="1" spans="1:30" ht="51.75" customHeight="1" x14ac:dyDescent="0.25">
      <c r="A1" s="163" t="s">
        <v>81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row>
    <row r="2" spans="1:30" ht="24.75" customHeight="1" x14ac:dyDescent="0.25">
      <c r="M2" s="162" t="s">
        <v>53</v>
      </c>
      <c r="N2" s="162"/>
      <c r="O2" s="162"/>
      <c r="P2" s="162"/>
      <c r="Q2" s="162"/>
      <c r="R2" s="162"/>
      <c r="S2" s="162"/>
      <c r="T2" s="162"/>
      <c r="U2" s="162"/>
      <c r="V2" s="162"/>
      <c r="W2" s="162"/>
      <c r="X2" s="162"/>
      <c r="Y2" s="162"/>
      <c r="Z2" s="162"/>
      <c r="AA2" s="162"/>
    </row>
    <row r="3" spans="1:30" ht="51" customHeight="1" x14ac:dyDescent="0.25">
      <c r="A3" s="164" t="s">
        <v>6</v>
      </c>
      <c r="B3" s="164" t="s">
        <v>7</v>
      </c>
      <c r="C3" s="161" t="s">
        <v>79</v>
      </c>
      <c r="D3" s="161"/>
      <c r="E3" s="161"/>
      <c r="F3" s="161" t="s">
        <v>80</v>
      </c>
      <c r="G3" s="161"/>
      <c r="H3" s="161"/>
      <c r="I3" s="161" t="s">
        <v>73</v>
      </c>
      <c r="J3" s="161"/>
      <c r="K3" s="161"/>
      <c r="L3" s="161" t="s">
        <v>74</v>
      </c>
      <c r="M3" s="161"/>
      <c r="N3" s="161"/>
      <c r="O3" s="166" t="s">
        <v>75</v>
      </c>
      <c r="P3" s="167"/>
      <c r="Q3" s="168"/>
      <c r="R3" s="166" t="s">
        <v>76</v>
      </c>
      <c r="S3" s="167"/>
      <c r="T3" s="168"/>
      <c r="U3" s="166" t="s">
        <v>77</v>
      </c>
      <c r="V3" s="167"/>
      <c r="W3" s="168"/>
      <c r="X3" s="166" t="s">
        <v>78</v>
      </c>
      <c r="Y3" s="167"/>
      <c r="Z3" s="168"/>
      <c r="AA3" s="169" t="s">
        <v>8</v>
      </c>
    </row>
    <row r="4" spans="1:30" ht="91.5" customHeight="1" x14ac:dyDescent="0.25">
      <c r="A4" s="165"/>
      <c r="B4" s="165"/>
      <c r="C4" s="39" t="s">
        <v>64</v>
      </c>
      <c r="D4" s="40" t="s">
        <v>70</v>
      </c>
      <c r="E4" s="40" t="s">
        <v>71</v>
      </c>
      <c r="F4" s="39" t="s">
        <v>64</v>
      </c>
      <c r="G4" s="40" t="s">
        <v>70</v>
      </c>
      <c r="H4" s="40" t="s">
        <v>71</v>
      </c>
      <c r="I4" s="39" t="s">
        <v>64</v>
      </c>
      <c r="J4" s="40" t="s">
        <v>70</v>
      </c>
      <c r="K4" s="40" t="s">
        <v>71</v>
      </c>
      <c r="L4" s="39" t="s">
        <v>64</v>
      </c>
      <c r="M4" s="40" t="s">
        <v>70</v>
      </c>
      <c r="N4" s="40" t="s">
        <v>71</v>
      </c>
      <c r="O4" s="39" t="s">
        <v>64</v>
      </c>
      <c r="P4" s="40" t="s">
        <v>70</v>
      </c>
      <c r="Q4" s="40" t="s">
        <v>71</v>
      </c>
      <c r="R4" s="39" t="s">
        <v>64</v>
      </c>
      <c r="S4" s="40" t="s">
        <v>70</v>
      </c>
      <c r="T4" s="40" t="s">
        <v>71</v>
      </c>
      <c r="U4" s="39" t="s">
        <v>64</v>
      </c>
      <c r="V4" s="40" t="s">
        <v>70</v>
      </c>
      <c r="W4" s="40" t="s">
        <v>71</v>
      </c>
      <c r="X4" s="39" t="s">
        <v>64</v>
      </c>
      <c r="Y4" s="40" t="s">
        <v>70</v>
      </c>
      <c r="Z4" s="40" t="s">
        <v>71</v>
      </c>
      <c r="AA4" s="170"/>
    </row>
    <row r="5" spans="1:30" s="15" customFormat="1" x14ac:dyDescent="0.25">
      <c r="A5" s="14">
        <v>1</v>
      </c>
      <c r="B5" s="14">
        <v>2</v>
      </c>
      <c r="C5" s="14"/>
      <c r="D5" s="14"/>
      <c r="E5" s="14"/>
      <c r="F5" s="14"/>
      <c r="G5" s="14"/>
      <c r="H5" s="14"/>
      <c r="I5" s="14">
        <v>3</v>
      </c>
      <c r="J5" s="14">
        <v>4</v>
      </c>
      <c r="K5" s="14">
        <v>5</v>
      </c>
      <c r="L5" s="14">
        <v>6</v>
      </c>
      <c r="M5" s="14">
        <v>7</v>
      </c>
      <c r="N5" s="14">
        <v>8</v>
      </c>
      <c r="O5" s="14">
        <v>9</v>
      </c>
      <c r="P5" s="14">
        <v>10</v>
      </c>
      <c r="Q5" s="14">
        <v>11</v>
      </c>
      <c r="R5" s="14">
        <v>12</v>
      </c>
      <c r="S5" s="14">
        <v>13</v>
      </c>
      <c r="T5" s="14">
        <v>14</v>
      </c>
      <c r="U5" s="14">
        <v>15</v>
      </c>
      <c r="V5" s="14">
        <v>16</v>
      </c>
      <c r="W5" s="14">
        <v>17</v>
      </c>
      <c r="X5" s="14">
        <v>18</v>
      </c>
      <c r="Y5" s="14">
        <v>19</v>
      </c>
      <c r="Z5" s="14">
        <v>20</v>
      </c>
      <c r="AA5" s="14">
        <v>21</v>
      </c>
    </row>
    <row r="6" spans="1:30" s="6" customFormat="1" ht="22.5" customHeight="1" x14ac:dyDescent="0.25">
      <c r="A6" s="5"/>
      <c r="B6" s="5" t="s">
        <v>18</v>
      </c>
      <c r="C6" s="5"/>
      <c r="D6" s="5"/>
      <c r="E6" s="5"/>
      <c r="F6" s="5"/>
      <c r="G6" s="5"/>
      <c r="H6" s="5"/>
      <c r="I6" s="35"/>
      <c r="J6" s="35"/>
      <c r="K6" s="35"/>
      <c r="L6" s="35"/>
      <c r="M6" s="35"/>
      <c r="N6" s="35"/>
      <c r="O6" s="35"/>
      <c r="P6" s="35"/>
      <c r="Q6" s="35"/>
      <c r="R6" s="35"/>
      <c r="S6" s="35"/>
      <c r="T6" s="35"/>
      <c r="U6" s="35"/>
      <c r="V6" s="35"/>
      <c r="W6" s="35"/>
      <c r="X6" s="35"/>
      <c r="Y6" s="35"/>
      <c r="Z6" s="35"/>
      <c r="AA6" s="5"/>
      <c r="AB6" s="34"/>
    </row>
    <row r="7" spans="1:30" s="7" customFormat="1" ht="31.5" x14ac:dyDescent="0.25">
      <c r="A7" s="5" t="s">
        <v>1</v>
      </c>
      <c r="B7" s="16" t="s">
        <v>19</v>
      </c>
      <c r="C7" s="16"/>
      <c r="D7" s="16"/>
      <c r="E7" s="16"/>
      <c r="F7" s="16"/>
      <c r="G7" s="16"/>
      <c r="H7" s="16"/>
      <c r="I7" s="35"/>
      <c r="J7" s="35"/>
      <c r="K7" s="35"/>
      <c r="L7" s="36"/>
      <c r="M7" s="36"/>
      <c r="N7" s="36"/>
      <c r="O7" s="36"/>
      <c r="P7" s="36"/>
      <c r="Q7" s="36"/>
      <c r="R7" s="36"/>
      <c r="S7" s="36"/>
      <c r="T7" s="36"/>
      <c r="U7" s="36"/>
      <c r="V7" s="36"/>
      <c r="W7" s="36"/>
      <c r="X7" s="36"/>
      <c r="Y7" s="36"/>
      <c r="Z7" s="36"/>
      <c r="AA7" s="5"/>
      <c r="AB7" s="34"/>
      <c r="AC7" s="34"/>
      <c r="AD7" s="19"/>
    </row>
    <row r="8" spans="1:30" s="7" customFormat="1" ht="31.5" x14ac:dyDescent="0.25">
      <c r="A8" s="5" t="s">
        <v>2</v>
      </c>
      <c r="B8" s="16" t="s">
        <v>20</v>
      </c>
      <c r="C8" s="16"/>
      <c r="D8" s="16"/>
      <c r="E8" s="16"/>
      <c r="F8" s="16"/>
      <c r="G8" s="16"/>
      <c r="H8" s="16"/>
      <c r="I8" s="35"/>
      <c r="J8" s="35"/>
      <c r="K8" s="35"/>
      <c r="L8" s="36"/>
      <c r="M8" s="36"/>
      <c r="N8" s="36"/>
      <c r="O8" s="36"/>
      <c r="P8" s="36"/>
      <c r="Q8" s="36"/>
      <c r="R8" s="36"/>
      <c r="S8" s="36"/>
      <c r="T8" s="36"/>
      <c r="U8" s="36"/>
      <c r="V8" s="36"/>
      <c r="W8" s="36"/>
      <c r="X8" s="36"/>
      <c r="Y8" s="36"/>
      <c r="Z8" s="36"/>
      <c r="AA8" s="5"/>
      <c r="AB8" s="34"/>
      <c r="AC8" s="6"/>
    </row>
    <row r="9" spans="1:30" ht="47.25" x14ac:dyDescent="0.25">
      <c r="A9" s="8">
        <v>1</v>
      </c>
      <c r="B9" s="17" t="s">
        <v>21</v>
      </c>
      <c r="C9" s="17"/>
      <c r="D9" s="17"/>
      <c r="E9" s="17"/>
      <c r="F9" s="17"/>
      <c r="G9" s="17"/>
      <c r="H9" s="17"/>
      <c r="I9" s="35"/>
      <c r="J9" s="35"/>
      <c r="K9" s="35"/>
      <c r="L9" s="36"/>
      <c r="M9" s="36"/>
      <c r="N9" s="36"/>
      <c r="O9" s="36"/>
      <c r="P9" s="36"/>
      <c r="Q9" s="36"/>
      <c r="R9" s="36"/>
      <c r="S9" s="36"/>
      <c r="T9" s="36"/>
      <c r="U9" s="36"/>
      <c r="V9" s="36"/>
      <c r="W9" s="36"/>
      <c r="X9" s="36"/>
      <c r="Y9" s="36"/>
      <c r="Z9" s="36"/>
      <c r="AA9" s="8"/>
      <c r="AB9" s="34"/>
      <c r="AC9" s="6"/>
    </row>
    <row r="10" spans="1:30" ht="47.25" x14ac:dyDescent="0.25">
      <c r="A10" s="5" t="s">
        <v>3</v>
      </c>
      <c r="B10" s="16" t="s">
        <v>22</v>
      </c>
      <c r="C10" s="16"/>
      <c r="D10" s="16"/>
      <c r="E10" s="16"/>
      <c r="F10" s="16"/>
      <c r="G10" s="16"/>
      <c r="H10" s="16"/>
      <c r="I10" s="35"/>
      <c r="J10" s="35"/>
      <c r="K10" s="35"/>
      <c r="L10" s="36"/>
      <c r="M10" s="36"/>
      <c r="N10" s="36"/>
      <c r="O10" s="36"/>
      <c r="P10" s="36"/>
      <c r="Q10" s="36"/>
      <c r="R10" s="36"/>
      <c r="S10" s="36"/>
      <c r="T10" s="36"/>
      <c r="U10" s="36"/>
      <c r="V10" s="36"/>
      <c r="W10" s="36"/>
      <c r="X10" s="36"/>
      <c r="Y10" s="36"/>
      <c r="Z10" s="36"/>
      <c r="AA10" s="8"/>
      <c r="AB10" s="34"/>
      <c r="AC10" s="6"/>
    </row>
    <row r="11" spans="1:30" s="10" customFormat="1" ht="31.5" x14ac:dyDescent="0.25">
      <c r="A11" s="8"/>
      <c r="B11" s="17" t="s">
        <v>23</v>
      </c>
      <c r="C11" s="17"/>
      <c r="D11" s="17"/>
      <c r="E11" s="17"/>
      <c r="F11" s="17"/>
      <c r="G11" s="17"/>
      <c r="H11" s="17"/>
      <c r="I11" s="35"/>
      <c r="J11" s="35"/>
      <c r="K11" s="35"/>
      <c r="L11" s="36"/>
      <c r="M11" s="36"/>
      <c r="N11" s="36"/>
      <c r="O11" s="36"/>
      <c r="P11" s="36"/>
      <c r="Q11" s="36"/>
      <c r="R11" s="36"/>
      <c r="S11" s="36"/>
      <c r="T11" s="36"/>
      <c r="U11" s="36"/>
      <c r="V11" s="36"/>
      <c r="W11" s="36"/>
      <c r="X11" s="36"/>
      <c r="Y11" s="36"/>
      <c r="Z11" s="36"/>
      <c r="AA11" s="8"/>
      <c r="AB11" s="34"/>
      <c r="AC11" s="6"/>
    </row>
    <row r="12" spans="1:30" s="11" customFormat="1" ht="31.5" x14ac:dyDescent="0.25">
      <c r="A12" s="5" t="s">
        <v>4</v>
      </c>
      <c r="B12" s="16" t="s">
        <v>49</v>
      </c>
      <c r="C12" s="16"/>
      <c r="D12" s="16"/>
      <c r="E12" s="16"/>
      <c r="F12" s="16"/>
      <c r="G12" s="16"/>
      <c r="H12" s="16"/>
      <c r="I12" s="35"/>
      <c r="J12" s="35"/>
      <c r="K12" s="35"/>
      <c r="L12" s="36"/>
      <c r="M12" s="36"/>
      <c r="N12" s="36"/>
      <c r="O12" s="36"/>
      <c r="P12" s="36"/>
      <c r="Q12" s="36"/>
      <c r="R12" s="36"/>
      <c r="S12" s="36"/>
      <c r="T12" s="36"/>
      <c r="U12" s="36"/>
      <c r="V12" s="36"/>
      <c r="W12" s="36"/>
      <c r="X12" s="36"/>
      <c r="Y12" s="36"/>
      <c r="Z12" s="36"/>
      <c r="AA12" s="8"/>
      <c r="AB12" s="34"/>
      <c r="AC12" s="6"/>
    </row>
    <row r="13" spans="1:30" s="11" customFormat="1" ht="63" x14ac:dyDescent="0.25">
      <c r="A13" s="8">
        <v>1</v>
      </c>
      <c r="B13" s="17" t="s">
        <v>24</v>
      </c>
      <c r="C13" s="17"/>
      <c r="D13" s="17"/>
      <c r="E13" s="17"/>
      <c r="F13" s="17"/>
      <c r="G13" s="17"/>
      <c r="H13" s="17"/>
      <c r="I13" s="35"/>
      <c r="J13" s="35"/>
      <c r="K13" s="35"/>
      <c r="L13" s="36"/>
      <c r="M13" s="36"/>
      <c r="N13" s="36"/>
      <c r="O13" s="36"/>
      <c r="P13" s="36"/>
      <c r="Q13" s="36"/>
      <c r="R13" s="36"/>
      <c r="S13" s="36"/>
      <c r="T13" s="36"/>
      <c r="U13" s="36"/>
      <c r="V13" s="36"/>
      <c r="W13" s="36"/>
      <c r="X13" s="36"/>
      <c r="Y13" s="36"/>
      <c r="Z13" s="36"/>
      <c r="AA13" s="8"/>
      <c r="AB13" s="34"/>
      <c r="AC13" s="6"/>
    </row>
    <row r="14" spans="1:30" s="10" customFormat="1" ht="47.25" x14ac:dyDescent="0.25">
      <c r="A14" s="9">
        <v>2</v>
      </c>
      <c r="B14" s="17" t="s">
        <v>68</v>
      </c>
      <c r="C14" s="17"/>
      <c r="D14" s="17"/>
      <c r="E14" s="17"/>
      <c r="F14" s="17"/>
      <c r="G14" s="17"/>
      <c r="H14" s="17"/>
      <c r="I14" s="35"/>
      <c r="J14" s="35"/>
      <c r="K14" s="35"/>
      <c r="L14" s="36"/>
      <c r="M14" s="36"/>
      <c r="N14" s="36"/>
      <c r="O14" s="36"/>
      <c r="P14" s="36"/>
      <c r="Q14" s="36"/>
      <c r="R14" s="36"/>
      <c r="S14" s="36"/>
      <c r="T14" s="36"/>
      <c r="U14" s="36"/>
      <c r="V14" s="36"/>
      <c r="W14" s="36"/>
      <c r="X14" s="36"/>
      <c r="Y14" s="36"/>
      <c r="Z14" s="36"/>
      <c r="AA14" s="8"/>
      <c r="AB14" s="34"/>
      <c r="AC14" s="6"/>
    </row>
    <row r="15" spans="1:30" s="10" customFormat="1" ht="31.5" x14ac:dyDescent="0.25">
      <c r="A15" s="9">
        <v>3</v>
      </c>
      <c r="B15" s="17" t="s">
        <v>25</v>
      </c>
      <c r="C15" s="17"/>
      <c r="D15" s="17"/>
      <c r="E15" s="17"/>
      <c r="F15" s="17"/>
      <c r="G15" s="17"/>
      <c r="H15" s="17"/>
      <c r="I15" s="35"/>
      <c r="J15" s="35"/>
      <c r="K15" s="35"/>
      <c r="L15" s="36"/>
      <c r="M15" s="36"/>
      <c r="N15" s="36"/>
      <c r="O15" s="36"/>
      <c r="P15" s="36"/>
      <c r="Q15" s="36"/>
      <c r="R15" s="36"/>
      <c r="S15" s="36"/>
      <c r="T15" s="36"/>
      <c r="U15" s="36"/>
      <c r="V15" s="36"/>
      <c r="W15" s="36"/>
      <c r="X15" s="36"/>
      <c r="Y15" s="36"/>
      <c r="Z15" s="36"/>
      <c r="AA15" s="9"/>
      <c r="AB15" s="34"/>
      <c r="AC15" s="6"/>
    </row>
    <row r="16" spans="1:30" s="11" customFormat="1" ht="31.5" x14ac:dyDescent="0.25">
      <c r="A16" s="9">
        <v>4</v>
      </c>
      <c r="B16" s="17" t="s">
        <v>26</v>
      </c>
      <c r="C16" s="17"/>
      <c r="D16" s="17"/>
      <c r="E16" s="17"/>
      <c r="F16" s="17"/>
      <c r="G16" s="17"/>
      <c r="H16" s="17"/>
      <c r="I16" s="35"/>
      <c r="J16" s="35"/>
      <c r="K16" s="35"/>
      <c r="L16" s="36"/>
      <c r="M16" s="36"/>
      <c r="N16" s="36"/>
      <c r="O16" s="36"/>
      <c r="P16" s="36"/>
      <c r="Q16" s="36"/>
      <c r="R16" s="36"/>
      <c r="S16" s="36"/>
      <c r="T16" s="36"/>
      <c r="U16" s="36"/>
      <c r="V16" s="36"/>
      <c r="W16" s="36"/>
      <c r="X16" s="36"/>
      <c r="Y16" s="36"/>
      <c r="Z16" s="36"/>
      <c r="AA16" s="8"/>
      <c r="AB16" s="34"/>
      <c r="AC16" s="6"/>
    </row>
    <row r="17" spans="1:29" ht="31.5" x14ac:dyDescent="0.25">
      <c r="A17" s="20" t="s">
        <v>27</v>
      </c>
      <c r="B17" s="16" t="s">
        <v>28</v>
      </c>
      <c r="C17" s="16"/>
      <c r="D17" s="16"/>
      <c r="E17" s="16"/>
      <c r="F17" s="16"/>
      <c r="G17" s="16"/>
      <c r="H17" s="16"/>
      <c r="I17" s="35"/>
      <c r="J17" s="35"/>
      <c r="K17" s="35"/>
      <c r="L17" s="36"/>
      <c r="M17" s="36"/>
      <c r="N17" s="36"/>
      <c r="O17" s="36"/>
      <c r="P17" s="36"/>
      <c r="Q17" s="36"/>
      <c r="R17" s="36"/>
      <c r="S17" s="36"/>
      <c r="T17" s="36"/>
      <c r="U17" s="36"/>
      <c r="V17" s="36"/>
      <c r="W17" s="36"/>
      <c r="X17" s="36"/>
      <c r="Y17" s="36"/>
      <c r="Z17" s="36"/>
      <c r="AA17" s="9"/>
      <c r="AB17" s="34"/>
      <c r="AC17" s="6"/>
    </row>
    <row r="18" spans="1:29" ht="31.5" x14ac:dyDescent="0.25">
      <c r="A18" s="20" t="s">
        <v>16</v>
      </c>
      <c r="B18" s="16" t="s">
        <v>29</v>
      </c>
      <c r="C18" s="16"/>
      <c r="D18" s="16"/>
      <c r="E18" s="16"/>
      <c r="F18" s="16"/>
      <c r="G18" s="16"/>
      <c r="H18" s="16"/>
      <c r="I18" s="35"/>
      <c r="J18" s="35"/>
      <c r="K18" s="35"/>
      <c r="L18" s="36"/>
      <c r="M18" s="36"/>
      <c r="N18" s="36"/>
      <c r="O18" s="36"/>
      <c r="P18" s="36"/>
      <c r="Q18" s="36"/>
      <c r="R18" s="36"/>
      <c r="S18" s="36"/>
      <c r="T18" s="36"/>
      <c r="U18" s="36"/>
      <c r="V18" s="36"/>
      <c r="W18" s="36"/>
      <c r="X18" s="36"/>
      <c r="Y18" s="36"/>
      <c r="Z18" s="36"/>
      <c r="AA18" s="9"/>
      <c r="AB18" s="34"/>
      <c r="AC18" s="6"/>
    </row>
    <row r="19" spans="1:29" ht="31.5" x14ac:dyDescent="0.25">
      <c r="A19" s="20" t="s">
        <v>30</v>
      </c>
      <c r="B19" s="16" t="s">
        <v>31</v>
      </c>
      <c r="C19" s="16"/>
      <c r="D19" s="16"/>
      <c r="E19" s="16"/>
      <c r="F19" s="16"/>
      <c r="G19" s="16"/>
      <c r="H19" s="16"/>
      <c r="I19" s="35"/>
      <c r="J19" s="35"/>
      <c r="K19" s="35"/>
      <c r="L19" s="36"/>
      <c r="M19" s="36"/>
      <c r="N19" s="36"/>
      <c r="O19" s="36"/>
      <c r="P19" s="36"/>
      <c r="Q19" s="36"/>
      <c r="R19" s="36"/>
      <c r="S19" s="36"/>
      <c r="T19" s="36"/>
      <c r="U19" s="36"/>
      <c r="V19" s="36"/>
      <c r="W19" s="36"/>
      <c r="X19" s="36"/>
      <c r="Y19" s="36"/>
      <c r="Z19" s="36"/>
      <c r="AA19" s="8"/>
      <c r="AB19" s="34"/>
      <c r="AC19" s="6"/>
    </row>
    <row r="20" spans="1:29" ht="31.5" x14ac:dyDescent="0.25">
      <c r="A20" s="20" t="s">
        <v>32</v>
      </c>
      <c r="B20" s="16" t="s">
        <v>33</v>
      </c>
      <c r="C20" s="16"/>
      <c r="D20" s="16"/>
      <c r="E20" s="16"/>
      <c r="F20" s="16"/>
      <c r="G20" s="16"/>
      <c r="H20" s="16"/>
      <c r="I20" s="35"/>
      <c r="J20" s="35"/>
      <c r="K20" s="35"/>
      <c r="L20" s="36"/>
      <c r="M20" s="36"/>
      <c r="N20" s="36"/>
      <c r="O20" s="36"/>
      <c r="P20" s="36"/>
      <c r="Q20" s="36"/>
      <c r="R20" s="36"/>
      <c r="S20" s="36"/>
      <c r="T20" s="36"/>
      <c r="U20" s="36"/>
      <c r="V20" s="36"/>
      <c r="W20" s="36"/>
      <c r="X20" s="36"/>
      <c r="Y20" s="36"/>
      <c r="Z20" s="36"/>
      <c r="AA20" s="9"/>
      <c r="AB20" s="34"/>
      <c r="AC20" s="6"/>
    </row>
    <row r="21" spans="1:29" ht="31.5" x14ac:dyDescent="0.25">
      <c r="A21" s="9"/>
      <c r="B21" s="17" t="s">
        <v>34</v>
      </c>
      <c r="C21" s="17"/>
      <c r="D21" s="17"/>
      <c r="E21" s="17"/>
      <c r="F21" s="17"/>
      <c r="G21" s="17"/>
      <c r="H21" s="17"/>
      <c r="I21" s="35"/>
      <c r="J21" s="35"/>
      <c r="K21" s="35"/>
      <c r="L21" s="36"/>
      <c r="M21" s="36"/>
      <c r="N21" s="36"/>
      <c r="O21" s="36"/>
      <c r="P21" s="36"/>
      <c r="Q21" s="36"/>
      <c r="R21" s="36"/>
      <c r="S21" s="36"/>
      <c r="T21" s="36"/>
      <c r="U21" s="36"/>
      <c r="V21" s="36"/>
      <c r="W21" s="36"/>
      <c r="X21" s="36"/>
      <c r="Y21" s="36"/>
      <c r="Z21" s="36"/>
      <c r="AA21" s="8"/>
      <c r="AB21" s="34"/>
      <c r="AC21" s="6"/>
    </row>
    <row r="22" spans="1:29" ht="64.900000000000006" customHeight="1" x14ac:dyDescent="0.25">
      <c r="A22" s="20" t="s">
        <v>17</v>
      </c>
      <c r="B22" s="16" t="s">
        <v>35</v>
      </c>
      <c r="C22" s="16"/>
      <c r="D22" s="16"/>
      <c r="E22" s="16"/>
      <c r="F22" s="16"/>
      <c r="G22" s="16"/>
      <c r="H22" s="16"/>
      <c r="I22" s="35"/>
      <c r="J22" s="35"/>
      <c r="K22" s="35"/>
      <c r="L22" s="36"/>
      <c r="M22" s="36"/>
      <c r="N22" s="36"/>
      <c r="O22" s="36"/>
      <c r="P22" s="36"/>
      <c r="Q22" s="36"/>
      <c r="R22" s="36"/>
      <c r="S22" s="36"/>
      <c r="T22" s="36"/>
      <c r="U22" s="36"/>
      <c r="V22" s="36"/>
      <c r="W22" s="36"/>
      <c r="X22" s="36"/>
      <c r="Y22" s="36"/>
      <c r="Z22" s="36"/>
      <c r="AA22" s="8"/>
      <c r="AB22" s="34"/>
      <c r="AC22" s="6"/>
    </row>
    <row r="23" spans="1:29" ht="78.75" x14ac:dyDescent="0.25">
      <c r="A23" s="9">
        <v>1</v>
      </c>
      <c r="B23" s="17" t="s">
        <v>69</v>
      </c>
      <c r="C23" s="17"/>
      <c r="D23" s="17"/>
      <c r="E23" s="17"/>
      <c r="F23" s="17"/>
      <c r="G23" s="17"/>
      <c r="H23" s="17"/>
      <c r="I23" s="35"/>
      <c r="J23" s="35"/>
      <c r="K23" s="35"/>
      <c r="L23" s="36"/>
      <c r="M23" s="36"/>
      <c r="N23" s="36"/>
      <c r="O23" s="36"/>
      <c r="P23" s="36"/>
      <c r="Q23" s="36"/>
      <c r="R23" s="36"/>
      <c r="S23" s="36"/>
      <c r="T23" s="36"/>
      <c r="U23" s="36"/>
      <c r="V23" s="36"/>
      <c r="W23" s="36"/>
      <c r="X23" s="36"/>
      <c r="Y23" s="36"/>
      <c r="Z23" s="36"/>
      <c r="AA23" s="8"/>
      <c r="AB23" s="34"/>
      <c r="AC23" s="6"/>
    </row>
    <row r="24" spans="1:29" ht="31.5" x14ac:dyDescent="0.25">
      <c r="A24" s="9">
        <v>2</v>
      </c>
      <c r="B24" s="17" t="s">
        <v>36</v>
      </c>
      <c r="C24" s="17"/>
      <c r="D24" s="17"/>
      <c r="E24" s="17"/>
      <c r="F24" s="17"/>
      <c r="G24" s="17"/>
      <c r="H24" s="17"/>
      <c r="I24" s="35"/>
      <c r="J24" s="35"/>
      <c r="K24" s="35"/>
      <c r="L24" s="36"/>
      <c r="M24" s="36"/>
      <c r="N24" s="36"/>
      <c r="O24" s="36"/>
      <c r="P24" s="36"/>
      <c r="Q24" s="36"/>
      <c r="R24" s="36"/>
      <c r="S24" s="36"/>
      <c r="T24" s="36"/>
      <c r="U24" s="36"/>
      <c r="V24" s="36"/>
      <c r="W24" s="36"/>
      <c r="X24" s="36"/>
      <c r="Y24" s="36"/>
      <c r="Z24" s="36"/>
      <c r="AA24" s="8"/>
      <c r="AB24" s="34"/>
      <c r="AC24" s="6"/>
    </row>
    <row r="25" spans="1:29" ht="31.5" x14ac:dyDescent="0.25">
      <c r="A25" s="9">
        <v>3</v>
      </c>
      <c r="B25" s="17" t="s">
        <v>37</v>
      </c>
      <c r="C25" s="17"/>
      <c r="D25" s="17"/>
      <c r="E25" s="17"/>
      <c r="F25" s="17"/>
      <c r="G25" s="17"/>
      <c r="H25" s="17"/>
      <c r="I25" s="35"/>
      <c r="J25" s="35"/>
      <c r="K25" s="35"/>
      <c r="L25" s="36"/>
      <c r="M25" s="36"/>
      <c r="N25" s="36"/>
      <c r="O25" s="36"/>
      <c r="P25" s="36"/>
      <c r="Q25" s="36"/>
      <c r="R25" s="36"/>
      <c r="S25" s="36"/>
      <c r="T25" s="36"/>
      <c r="U25" s="36"/>
      <c r="V25" s="36"/>
      <c r="W25" s="36"/>
      <c r="X25" s="36"/>
      <c r="Y25" s="36"/>
      <c r="Z25" s="36"/>
      <c r="AA25" s="9"/>
      <c r="AB25" s="34"/>
      <c r="AC25" s="6"/>
    </row>
    <row r="26" spans="1:29" x14ac:dyDescent="0.25">
      <c r="B26" s="12"/>
      <c r="C26" s="12"/>
      <c r="D26" s="12"/>
      <c r="E26" s="12"/>
      <c r="F26" s="12"/>
      <c r="G26" s="12"/>
      <c r="H26" s="12"/>
    </row>
  </sheetData>
  <mergeCells count="13">
    <mergeCell ref="C3:E3"/>
    <mergeCell ref="F3:H3"/>
    <mergeCell ref="M2:AA2"/>
    <mergeCell ref="A1:AA1"/>
    <mergeCell ref="A3:A4"/>
    <mergeCell ref="B3:B4"/>
    <mergeCell ref="L3:N3"/>
    <mergeCell ref="R3:T3"/>
    <mergeCell ref="AA3:AA4"/>
    <mergeCell ref="I3:K3"/>
    <mergeCell ref="O3:Q3"/>
    <mergeCell ref="U3:W3"/>
    <mergeCell ref="X3:Z3"/>
  </mergeCells>
  <printOptions horizontalCentered="1"/>
  <pageMargins left="0.2" right="0.25" top="0.31" bottom="0.24" header="0.3" footer="0.3"/>
  <pageSetup paperSize="9" scale="60" orientation="landscape"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76"/>
  <sheetViews>
    <sheetView zoomScale="80" zoomScaleNormal="80" workbookViewId="0">
      <selection sqref="A1:AA1"/>
    </sheetView>
  </sheetViews>
  <sheetFormatPr defaultColWidth="9.140625" defaultRowHeight="16.5" x14ac:dyDescent="0.25"/>
  <cols>
    <col min="1" max="1" width="8" style="125" customWidth="1"/>
    <col min="2" max="2" width="46.5703125" style="124" customWidth="1"/>
    <col min="3" max="3" width="11.85546875" style="99" bestFit="1" customWidth="1"/>
    <col min="4" max="4" width="12.85546875" style="99" customWidth="1"/>
    <col min="5" max="5" width="10.42578125" style="99" bestFit="1" customWidth="1"/>
    <col min="6" max="6" width="14.140625" style="99" customWidth="1"/>
    <col min="7" max="7" width="13.140625" style="99" customWidth="1"/>
    <col min="8" max="8" width="10.5703125" style="99" customWidth="1"/>
    <col min="9" max="9" width="14" style="99" customWidth="1"/>
    <col min="10" max="10" width="13.42578125" style="99" customWidth="1"/>
    <col min="11" max="11" width="13.5703125" style="99" customWidth="1"/>
    <col min="12" max="13" width="14.28515625" style="99" customWidth="1"/>
    <col min="14" max="14" width="12.42578125" style="99" customWidth="1"/>
    <col min="15" max="15" width="10.7109375" style="99" bestFit="1" customWidth="1"/>
    <col min="16" max="20" width="10.140625" style="99" customWidth="1"/>
    <col min="21" max="21" width="12.140625" style="99" customWidth="1"/>
    <col min="22" max="22" width="12.42578125" style="99" customWidth="1"/>
    <col min="23" max="23" width="10.140625" style="99" customWidth="1"/>
    <col min="24" max="24" width="12.140625" style="99" customWidth="1"/>
    <col min="25" max="25" width="11.5703125" style="99" customWidth="1"/>
    <col min="26" max="27" width="10.140625" style="99" customWidth="1"/>
    <col min="28" max="29" width="13.7109375" style="124" hidden="1" customWidth="1"/>
    <col min="30" max="16384" width="9.140625" style="124"/>
  </cols>
  <sheetData>
    <row r="1" spans="1:29" ht="59.25" customHeight="1" x14ac:dyDescent="0.25">
      <c r="A1" s="173" t="s">
        <v>104</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29" ht="23.25" customHeight="1" x14ac:dyDescent="0.25">
      <c r="A2" s="174" t="s">
        <v>178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1:29" ht="18.75" customHeight="1" x14ac:dyDescent="0.25">
      <c r="C3" s="158"/>
      <c r="D3" s="158"/>
      <c r="E3" s="158"/>
      <c r="F3" s="158"/>
      <c r="G3" s="158"/>
      <c r="H3" s="158"/>
      <c r="I3" s="158"/>
      <c r="J3" s="158"/>
      <c r="K3" s="158"/>
      <c r="L3" s="158"/>
      <c r="M3" s="158"/>
      <c r="N3" s="158"/>
      <c r="O3" s="158"/>
      <c r="P3" s="158"/>
      <c r="Q3" s="158"/>
      <c r="R3" s="158"/>
      <c r="S3" s="158"/>
      <c r="T3" s="158"/>
      <c r="U3" s="158"/>
      <c r="V3" s="158"/>
      <c r="W3" s="158"/>
      <c r="X3" s="158"/>
      <c r="Y3" s="172" t="s">
        <v>177</v>
      </c>
      <c r="Z3" s="172"/>
      <c r="AA3" s="172"/>
      <c r="AB3" s="172"/>
      <c r="AC3" s="172"/>
    </row>
    <row r="4" spans="1:29" ht="59.25" customHeight="1" x14ac:dyDescent="0.25">
      <c r="A4" s="161" t="s">
        <v>6</v>
      </c>
      <c r="B4" s="161" t="s">
        <v>7</v>
      </c>
      <c r="C4" s="161" t="s">
        <v>79</v>
      </c>
      <c r="D4" s="161"/>
      <c r="E4" s="161"/>
      <c r="F4" s="161" t="s">
        <v>73</v>
      </c>
      <c r="G4" s="161"/>
      <c r="H4" s="161"/>
      <c r="I4" s="171" t="s">
        <v>75</v>
      </c>
      <c r="J4" s="171"/>
      <c r="K4" s="171"/>
      <c r="L4" s="171" t="s">
        <v>107</v>
      </c>
      <c r="M4" s="171"/>
      <c r="N4" s="171"/>
      <c r="O4" s="161" t="s">
        <v>80</v>
      </c>
      <c r="P4" s="161"/>
      <c r="Q4" s="161"/>
      <c r="R4" s="161" t="s">
        <v>74</v>
      </c>
      <c r="S4" s="161"/>
      <c r="T4" s="161"/>
      <c r="U4" s="171" t="s">
        <v>76</v>
      </c>
      <c r="V4" s="171"/>
      <c r="W4" s="171"/>
      <c r="X4" s="171" t="s">
        <v>168</v>
      </c>
      <c r="Y4" s="171"/>
      <c r="Z4" s="171"/>
      <c r="AA4" s="175" t="s">
        <v>164</v>
      </c>
      <c r="AB4" s="177" t="s">
        <v>173</v>
      </c>
      <c r="AC4" s="178" t="s">
        <v>174</v>
      </c>
    </row>
    <row r="5" spans="1:29" s="126" customFormat="1" ht="85.5" customHeight="1" x14ac:dyDescent="0.25">
      <c r="A5" s="161"/>
      <c r="B5" s="161"/>
      <c r="C5" s="39" t="s">
        <v>64</v>
      </c>
      <c r="D5" s="81" t="s">
        <v>70</v>
      </c>
      <c r="E5" s="81" t="s">
        <v>71</v>
      </c>
      <c r="F5" s="39" t="s">
        <v>64</v>
      </c>
      <c r="G5" s="93" t="s">
        <v>70</v>
      </c>
      <c r="H5" s="81" t="s">
        <v>71</v>
      </c>
      <c r="I5" s="39" t="s">
        <v>64</v>
      </c>
      <c r="J5" s="81" t="s">
        <v>70</v>
      </c>
      <c r="K5" s="81" t="s">
        <v>71</v>
      </c>
      <c r="L5" s="39" t="s">
        <v>64</v>
      </c>
      <c r="M5" s="81" t="s">
        <v>70</v>
      </c>
      <c r="N5" s="81" t="s">
        <v>71</v>
      </c>
      <c r="O5" s="39" t="s">
        <v>64</v>
      </c>
      <c r="P5" s="81" t="s">
        <v>70</v>
      </c>
      <c r="Q5" s="81" t="s">
        <v>71</v>
      </c>
      <c r="R5" s="39" t="s">
        <v>64</v>
      </c>
      <c r="S5" s="81" t="s">
        <v>70</v>
      </c>
      <c r="T5" s="81" t="s">
        <v>71</v>
      </c>
      <c r="U5" s="39" t="s">
        <v>64</v>
      </c>
      <c r="V5" s="81" t="s">
        <v>70</v>
      </c>
      <c r="W5" s="81" t="s">
        <v>71</v>
      </c>
      <c r="X5" s="39" t="s">
        <v>64</v>
      </c>
      <c r="Y5" s="81" t="s">
        <v>70</v>
      </c>
      <c r="Z5" s="81" t="s">
        <v>71</v>
      </c>
      <c r="AA5" s="176"/>
      <c r="AB5" s="177"/>
      <c r="AC5" s="178"/>
    </row>
    <row r="6" spans="1:29" ht="23.25" customHeight="1" x14ac:dyDescent="0.25">
      <c r="A6" s="119"/>
      <c r="B6" s="20" t="s">
        <v>18</v>
      </c>
      <c r="C6" s="88">
        <f t="shared" ref="C6:Z6" si="0">C7+C13+C16+C19+C22+C25+C28+C31+C35+C39+C42+C45+C48+C52+C56+C60+C64+C68</f>
        <v>1287.8699999999997</v>
      </c>
      <c r="D6" s="88">
        <f t="shared" si="0"/>
        <v>1262.1949999999997</v>
      </c>
      <c r="E6" s="88">
        <f t="shared" si="0"/>
        <v>25.675000000000001</v>
      </c>
      <c r="F6" s="88">
        <f t="shared" si="0"/>
        <v>1573.3502300000005</v>
      </c>
      <c r="G6" s="88">
        <f t="shared" si="0"/>
        <v>1337.3995854999998</v>
      </c>
      <c r="H6" s="88">
        <f t="shared" si="0"/>
        <v>235.95064450000001</v>
      </c>
      <c r="I6" s="88">
        <f t="shared" si="0"/>
        <v>16734.381000000001</v>
      </c>
      <c r="J6" s="88">
        <f t="shared" si="0"/>
        <v>14265.646849999999</v>
      </c>
      <c r="K6" s="88">
        <f t="shared" si="0"/>
        <v>2468.7341500000002</v>
      </c>
      <c r="L6" s="88">
        <f t="shared" si="0"/>
        <v>19595.60123</v>
      </c>
      <c r="M6" s="88">
        <f t="shared" si="0"/>
        <v>16865.2414355</v>
      </c>
      <c r="N6" s="88">
        <f t="shared" si="0"/>
        <v>2730.3597945000006</v>
      </c>
      <c r="O6" s="82">
        <f t="shared" si="0"/>
        <v>412.67700000000002</v>
      </c>
      <c r="P6" s="82">
        <f t="shared" si="0"/>
        <v>412.67700000000002</v>
      </c>
      <c r="Q6" s="82">
        <f t="shared" si="0"/>
        <v>0</v>
      </c>
      <c r="R6" s="82">
        <f t="shared" si="0"/>
        <v>334.90827999999999</v>
      </c>
      <c r="S6" s="82">
        <f t="shared" si="0"/>
        <v>307.44797600000004</v>
      </c>
      <c r="T6" s="82">
        <f t="shared" si="0"/>
        <v>27.460303999999994</v>
      </c>
      <c r="U6" s="82">
        <f t="shared" si="0"/>
        <v>12025.176800000001</v>
      </c>
      <c r="V6" s="82">
        <f t="shared" si="0"/>
        <v>10446.300800000003</v>
      </c>
      <c r="W6" s="82">
        <f t="shared" si="0"/>
        <v>1578.876</v>
      </c>
      <c r="X6" s="82">
        <f t="shared" si="0"/>
        <v>12772.76208</v>
      </c>
      <c r="Y6" s="82">
        <f t="shared" si="0"/>
        <v>11166.425776000002</v>
      </c>
      <c r="Z6" s="82">
        <f t="shared" si="0"/>
        <v>1606.3363040000002</v>
      </c>
      <c r="AA6" s="95">
        <f t="shared" ref="AA6:AA17" si="1">X6/L6*100</f>
        <v>65.181782023842501</v>
      </c>
      <c r="AB6" s="82">
        <f>AB7+AB13+AB16+AB19+AB22+AB25+AB28+AB31+AB35+AB39+AB42+AB45+AB48+AB52+AB56+AB60+AB64+AB68</f>
        <v>12653.83</v>
      </c>
      <c r="AC6" s="127">
        <f>AB6/L6*100</f>
        <v>64.574849485238275</v>
      </c>
    </row>
    <row r="7" spans="1:29" ht="23.25" customHeight="1" x14ac:dyDescent="0.25">
      <c r="A7" s="5" t="s">
        <v>1</v>
      </c>
      <c r="B7" s="128" t="s">
        <v>179</v>
      </c>
      <c r="C7" s="88">
        <f t="shared" ref="C7:Z7" si="2">SUM(C8:C12)</f>
        <v>297.73</v>
      </c>
      <c r="D7" s="88">
        <f t="shared" si="2"/>
        <v>292.73</v>
      </c>
      <c r="E7" s="88">
        <f t="shared" si="2"/>
        <v>5</v>
      </c>
      <c r="F7" s="88">
        <f t="shared" si="2"/>
        <v>235.90735999999998</v>
      </c>
      <c r="G7" s="88">
        <f t="shared" si="2"/>
        <v>201.27205599999996</v>
      </c>
      <c r="H7" s="88">
        <f t="shared" si="2"/>
        <v>34.635303999999998</v>
      </c>
      <c r="I7" s="88">
        <f t="shared" si="2"/>
        <v>1714</v>
      </c>
      <c r="J7" s="88">
        <f t="shared" si="2"/>
        <v>1491</v>
      </c>
      <c r="K7" s="88">
        <f t="shared" si="2"/>
        <v>223</v>
      </c>
      <c r="L7" s="88">
        <f t="shared" si="2"/>
        <v>2247.6373600000002</v>
      </c>
      <c r="M7" s="88">
        <f t="shared" si="2"/>
        <v>1985.002056</v>
      </c>
      <c r="N7" s="88">
        <f t="shared" si="2"/>
        <v>262.63530400000002</v>
      </c>
      <c r="O7" s="82">
        <f t="shared" si="2"/>
        <v>121.95699999999999</v>
      </c>
      <c r="P7" s="82">
        <f t="shared" si="2"/>
        <v>121.95699999999999</v>
      </c>
      <c r="Q7" s="82">
        <f t="shared" si="2"/>
        <v>0</v>
      </c>
      <c r="R7" s="82">
        <f t="shared" si="2"/>
        <v>319.12827999999996</v>
      </c>
      <c r="S7" s="82">
        <f t="shared" si="2"/>
        <v>294.19297600000004</v>
      </c>
      <c r="T7" s="82">
        <f t="shared" si="2"/>
        <v>24.935303999999995</v>
      </c>
      <c r="U7" s="82">
        <f t="shared" si="2"/>
        <v>933.55780000000004</v>
      </c>
      <c r="V7" s="82">
        <f t="shared" si="2"/>
        <v>933.55780000000004</v>
      </c>
      <c r="W7" s="82">
        <f t="shared" si="2"/>
        <v>0</v>
      </c>
      <c r="X7" s="88">
        <f t="shared" si="2"/>
        <v>1374.6430799999998</v>
      </c>
      <c r="Y7" s="82">
        <f t="shared" si="2"/>
        <v>1349.707776</v>
      </c>
      <c r="Z7" s="82">
        <f t="shared" si="2"/>
        <v>24.935303999999995</v>
      </c>
      <c r="AA7" s="95">
        <f t="shared" si="1"/>
        <v>61.159469248188671</v>
      </c>
      <c r="AB7" s="82">
        <f>SUM(AB8:AB12)</f>
        <v>1119</v>
      </c>
      <c r="AC7" s="127">
        <f t="shared" ref="AC7:AC69" si="3">AB7/L7*100</f>
        <v>49.785611322993844</v>
      </c>
    </row>
    <row r="8" spans="1:29" ht="54.75" customHeight="1" x14ac:dyDescent="0.25">
      <c r="A8" s="8">
        <v>2</v>
      </c>
      <c r="B8" s="116" t="s">
        <v>161</v>
      </c>
      <c r="C8" s="89">
        <f>D8</f>
        <v>267.62</v>
      </c>
      <c r="D8" s="89">
        <v>267.62</v>
      </c>
      <c r="E8" s="83"/>
      <c r="F8" s="85">
        <f>G8+H8</f>
        <v>64.671999999999997</v>
      </c>
      <c r="G8" s="84">
        <v>54.972000000000001</v>
      </c>
      <c r="H8" s="84">
        <v>9.6999999999999993</v>
      </c>
      <c r="I8" s="83"/>
      <c r="J8" s="83"/>
      <c r="K8" s="83"/>
      <c r="L8" s="84">
        <f>M8+N8</f>
        <v>332.29199999999997</v>
      </c>
      <c r="M8" s="84">
        <f t="shared" ref="M8:M62" si="4">D8+G8+J8</f>
        <v>322.59199999999998</v>
      </c>
      <c r="N8" s="84">
        <f t="shared" ref="N8:N62" si="5">E8+H8+K8</f>
        <v>9.6999999999999993</v>
      </c>
      <c r="O8" s="82">
        <f t="shared" ref="O8:O70" si="6">P8+Q8</f>
        <v>121.95699999999999</v>
      </c>
      <c r="P8" s="94">
        <v>121.95699999999999</v>
      </c>
      <c r="Q8" s="82"/>
      <c r="R8" s="82">
        <f t="shared" ref="R8:R70" si="7">S8+T8</f>
        <v>153.096</v>
      </c>
      <c r="S8" s="82">
        <v>153.096</v>
      </c>
      <c r="T8" s="82"/>
      <c r="U8" s="94">
        <f t="shared" ref="U8:U70" si="8">V8+W8</f>
        <v>0</v>
      </c>
      <c r="V8" s="94"/>
      <c r="W8" s="94"/>
      <c r="X8" s="94">
        <f t="shared" ref="X8:X70" si="9">Y8+Z8</f>
        <v>275.053</v>
      </c>
      <c r="Y8" s="94">
        <f t="shared" ref="Y8:Y9" si="10">P8+S8+V8</f>
        <v>275.053</v>
      </c>
      <c r="Z8" s="94"/>
      <c r="AA8" s="106">
        <f t="shared" si="1"/>
        <v>82.774487498946712</v>
      </c>
      <c r="AB8" s="130"/>
      <c r="AC8" s="131">
        <f t="shared" si="3"/>
        <v>0</v>
      </c>
    </row>
    <row r="9" spans="1:29" ht="31.5" x14ac:dyDescent="0.25">
      <c r="A9" s="8">
        <v>3</v>
      </c>
      <c r="B9" s="116" t="s">
        <v>159</v>
      </c>
      <c r="C9" s="83"/>
      <c r="D9" s="83"/>
      <c r="E9" s="83"/>
      <c r="F9" s="129"/>
      <c r="G9" s="83"/>
      <c r="H9" s="83"/>
      <c r="I9" s="84">
        <f>J9+K9</f>
        <v>759</v>
      </c>
      <c r="J9" s="84">
        <v>660</v>
      </c>
      <c r="K9" s="84">
        <v>99</v>
      </c>
      <c r="L9" s="84">
        <f t="shared" ref="L9:L47" si="11">M9+N9</f>
        <v>759</v>
      </c>
      <c r="M9" s="84">
        <f t="shared" si="4"/>
        <v>660</v>
      </c>
      <c r="N9" s="84">
        <f t="shared" si="5"/>
        <v>99</v>
      </c>
      <c r="O9" s="82">
        <f t="shared" si="6"/>
        <v>0</v>
      </c>
      <c r="P9" s="82"/>
      <c r="Q9" s="82"/>
      <c r="R9" s="82">
        <f t="shared" si="7"/>
        <v>0</v>
      </c>
      <c r="S9" s="82"/>
      <c r="T9" s="82"/>
      <c r="U9" s="94">
        <f t="shared" si="8"/>
        <v>616</v>
      </c>
      <c r="V9" s="94">
        <v>616</v>
      </c>
      <c r="W9" s="94"/>
      <c r="X9" s="94">
        <f t="shared" si="9"/>
        <v>616</v>
      </c>
      <c r="Y9" s="94">
        <f t="shared" si="10"/>
        <v>616</v>
      </c>
      <c r="Z9" s="94">
        <f>W9</f>
        <v>0</v>
      </c>
      <c r="AA9" s="106">
        <f t="shared" si="1"/>
        <v>81.159420289855078</v>
      </c>
      <c r="AB9" s="130">
        <v>420</v>
      </c>
      <c r="AC9" s="131">
        <f t="shared" si="3"/>
        <v>55.335968379446641</v>
      </c>
    </row>
    <row r="10" spans="1:29" ht="31.5" x14ac:dyDescent="0.25">
      <c r="A10" s="8">
        <v>4</v>
      </c>
      <c r="B10" s="122" t="s">
        <v>109</v>
      </c>
      <c r="C10" s="78"/>
      <c r="D10" s="78"/>
      <c r="E10" s="89"/>
      <c r="F10" s="84">
        <v>100.59056</v>
      </c>
      <c r="G10" s="84">
        <f>F10-H10</f>
        <v>85.501975999999999</v>
      </c>
      <c r="H10" s="84">
        <f>F10*15%</f>
        <v>15.088583999999999</v>
      </c>
      <c r="I10" s="84">
        <f>J10+K10</f>
        <v>242</v>
      </c>
      <c r="J10" s="84">
        <v>211</v>
      </c>
      <c r="K10" s="84">
        <v>31</v>
      </c>
      <c r="L10" s="84">
        <f t="shared" si="11"/>
        <v>342.59055999999998</v>
      </c>
      <c r="M10" s="84">
        <f t="shared" si="4"/>
        <v>296.50197600000001</v>
      </c>
      <c r="N10" s="84">
        <f t="shared" si="5"/>
        <v>46.088583999999997</v>
      </c>
      <c r="O10" s="82">
        <f t="shared" si="6"/>
        <v>0</v>
      </c>
      <c r="P10" s="82"/>
      <c r="Q10" s="82"/>
      <c r="R10" s="82">
        <v>100.59056</v>
      </c>
      <c r="S10" s="82">
        <v>85.501975999999999</v>
      </c>
      <c r="T10" s="82">
        <v>15.088583999999999</v>
      </c>
      <c r="U10" s="94">
        <f t="shared" si="8"/>
        <v>0</v>
      </c>
      <c r="V10" s="94"/>
      <c r="W10" s="94"/>
      <c r="X10" s="94">
        <f t="shared" si="9"/>
        <v>100.59056</v>
      </c>
      <c r="Y10" s="94">
        <f>P10+S10+V10</f>
        <v>85.501975999999999</v>
      </c>
      <c r="Z10" s="94">
        <f>T10</f>
        <v>15.088583999999999</v>
      </c>
      <c r="AA10" s="106">
        <f t="shared" si="1"/>
        <v>29.361743067292924</v>
      </c>
      <c r="AB10" s="130">
        <v>221</v>
      </c>
      <c r="AC10" s="131">
        <f t="shared" si="3"/>
        <v>64.508490835240764</v>
      </c>
    </row>
    <row r="11" spans="1:29" ht="47.25" x14ac:dyDescent="0.25">
      <c r="A11" s="8">
        <v>5</v>
      </c>
      <c r="B11" s="122" t="s">
        <v>160</v>
      </c>
      <c r="C11" s="83"/>
      <c r="D11" s="83"/>
      <c r="E11" s="83"/>
      <c r="F11" s="80">
        <v>65.644799999999975</v>
      </c>
      <c r="G11" s="84">
        <f t="shared" ref="G11:G14" si="12">F11-H11</f>
        <v>55.798079999999977</v>
      </c>
      <c r="H11" s="84">
        <f t="shared" ref="H11:H14" si="13">F11*15%</f>
        <v>9.8467199999999959</v>
      </c>
      <c r="I11" s="84">
        <f>J11+K11</f>
        <v>713</v>
      </c>
      <c r="J11" s="90">
        <v>620</v>
      </c>
      <c r="K11" s="90">
        <v>93</v>
      </c>
      <c r="L11" s="84">
        <f t="shared" si="11"/>
        <v>778.64480000000003</v>
      </c>
      <c r="M11" s="84">
        <f t="shared" si="4"/>
        <v>675.79808000000003</v>
      </c>
      <c r="N11" s="84">
        <f t="shared" si="5"/>
        <v>102.84671999999999</v>
      </c>
      <c r="O11" s="80"/>
      <c r="P11" s="84"/>
      <c r="Q11" s="84"/>
      <c r="R11" s="106">
        <f t="shared" si="7"/>
        <v>65.441719999999989</v>
      </c>
      <c r="S11" s="84">
        <v>55.594999999999999</v>
      </c>
      <c r="T11" s="84">
        <v>9.8467199999999959</v>
      </c>
      <c r="U11" s="94">
        <f t="shared" si="8"/>
        <v>317.55779999999999</v>
      </c>
      <c r="V11" s="94">
        <v>317.55779999999999</v>
      </c>
      <c r="W11" s="94"/>
      <c r="X11" s="94">
        <f>Y11+Z11</f>
        <v>382.99951999999996</v>
      </c>
      <c r="Y11" s="94">
        <f>P11+S11+V11</f>
        <v>373.15279999999996</v>
      </c>
      <c r="Z11" s="94">
        <f>T11</f>
        <v>9.8467199999999959</v>
      </c>
      <c r="AA11" s="106">
        <f t="shared" si="1"/>
        <v>49.187963497605061</v>
      </c>
      <c r="AB11" s="130">
        <v>478</v>
      </c>
      <c r="AC11" s="131">
        <f t="shared" si="3"/>
        <v>61.38871023090374</v>
      </c>
    </row>
    <row r="12" spans="1:29" ht="55.5" customHeight="1" x14ac:dyDescent="0.25">
      <c r="A12" s="8">
        <v>6</v>
      </c>
      <c r="B12" s="122" t="s">
        <v>143</v>
      </c>
      <c r="C12" s="84">
        <f>D12+E12</f>
        <v>30.11</v>
      </c>
      <c r="D12" s="84">
        <v>25.11</v>
      </c>
      <c r="E12" s="84">
        <v>5</v>
      </c>
      <c r="F12" s="79">
        <f>G12</f>
        <v>5</v>
      </c>
      <c r="G12" s="84">
        <v>5</v>
      </c>
      <c r="H12" s="84"/>
      <c r="I12" s="84">
        <f>J12+K12</f>
        <v>0</v>
      </c>
      <c r="J12" s="129"/>
      <c r="K12" s="129"/>
      <c r="L12" s="84">
        <f t="shared" si="11"/>
        <v>35.11</v>
      </c>
      <c r="M12" s="84">
        <f t="shared" si="4"/>
        <v>30.11</v>
      </c>
      <c r="N12" s="84">
        <f t="shared" si="5"/>
        <v>5</v>
      </c>
      <c r="O12" s="82">
        <f t="shared" si="6"/>
        <v>0</v>
      </c>
      <c r="P12" s="82"/>
      <c r="Q12" s="82"/>
      <c r="R12" s="82">
        <f t="shared" si="7"/>
        <v>0</v>
      </c>
      <c r="S12" s="82"/>
      <c r="T12" s="82"/>
      <c r="U12" s="94">
        <f t="shared" si="8"/>
        <v>0</v>
      </c>
      <c r="V12" s="94"/>
      <c r="W12" s="94"/>
      <c r="X12" s="94">
        <f t="shared" si="9"/>
        <v>0</v>
      </c>
      <c r="Y12" s="94"/>
      <c r="Z12" s="94"/>
      <c r="AA12" s="106">
        <f t="shared" si="1"/>
        <v>0</v>
      </c>
      <c r="AB12" s="130"/>
      <c r="AC12" s="131">
        <f t="shared" si="3"/>
        <v>0</v>
      </c>
    </row>
    <row r="13" spans="1:29" ht="35.25" customHeight="1" x14ac:dyDescent="0.25">
      <c r="A13" s="5" t="s">
        <v>110</v>
      </c>
      <c r="B13" s="128" t="s">
        <v>111</v>
      </c>
      <c r="C13" s="83">
        <f>C14+C15</f>
        <v>384.23</v>
      </c>
      <c r="D13" s="83">
        <f t="shared" ref="D13:AB13" si="14">D14+D15</f>
        <v>384.23</v>
      </c>
      <c r="E13" s="83">
        <f t="shared" si="14"/>
        <v>0</v>
      </c>
      <c r="F13" s="83">
        <f t="shared" si="14"/>
        <v>77.11099999999999</v>
      </c>
      <c r="G13" s="83">
        <f t="shared" si="14"/>
        <v>62.670499999999983</v>
      </c>
      <c r="H13" s="83">
        <f t="shared" si="14"/>
        <v>14.440499999999997</v>
      </c>
      <c r="I13" s="83">
        <f t="shared" si="14"/>
        <v>8.1590000000000007</v>
      </c>
      <c r="J13" s="83">
        <f t="shared" si="14"/>
        <v>8.1590000000000007</v>
      </c>
      <c r="K13" s="83">
        <f t="shared" si="14"/>
        <v>0</v>
      </c>
      <c r="L13" s="83">
        <f t="shared" si="14"/>
        <v>469.5</v>
      </c>
      <c r="M13" s="83">
        <f t="shared" si="14"/>
        <v>455.05950000000001</v>
      </c>
      <c r="N13" s="83">
        <f t="shared" si="14"/>
        <v>14.440499999999997</v>
      </c>
      <c r="O13" s="83">
        <f t="shared" si="14"/>
        <v>290.72000000000003</v>
      </c>
      <c r="P13" s="83">
        <f t="shared" si="14"/>
        <v>290.72000000000003</v>
      </c>
      <c r="Q13" s="83">
        <f t="shared" si="14"/>
        <v>0</v>
      </c>
      <c r="R13" s="83">
        <f t="shared" si="14"/>
        <v>0</v>
      </c>
      <c r="S13" s="83">
        <f t="shared" si="14"/>
        <v>0</v>
      </c>
      <c r="T13" s="83">
        <f t="shared" si="14"/>
        <v>0</v>
      </c>
      <c r="U13" s="83">
        <f t="shared" si="14"/>
        <v>0</v>
      </c>
      <c r="V13" s="83">
        <f t="shared" si="14"/>
        <v>0</v>
      </c>
      <c r="W13" s="83">
        <f t="shared" si="14"/>
        <v>0</v>
      </c>
      <c r="X13" s="83">
        <f t="shared" si="14"/>
        <v>290.72000000000003</v>
      </c>
      <c r="Y13" s="83">
        <f t="shared" si="14"/>
        <v>290.72000000000003</v>
      </c>
      <c r="Z13" s="83">
        <f>Z14+Z15</f>
        <v>0</v>
      </c>
      <c r="AA13" s="95">
        <f t="shared" si="1"/>
        <v>61.921192758253461</v>
      </c>
      <c r="AB13" s="83">
        <f t="shared" si="14"/>
        <v>429</v>
      </c>
      <c r="AC13" s="131">
        <f t="shared" si="3"/>
        <v>91.373801916932905</v>
      </c>
    </row>
    <row r="14" spans="1:29" ht="47.25" x14ac:dyDescent="0.25">
      <c r="A14" s="8">
        <v>1</v>
      </c>
      <c r="B14" s="116" t="s">
        <v>112</v>
      </c>
      <c r="C14" s="84">
        <f>D14</f>
        <v>384.23</v>
      </c>
      <c r="D14" s="84">
        <v>384.23</v>
      </c>
      <c r="E14" s="83"/>
      <c r="F14" s="79">
        <v>46.269999999999982</v>
      </c>
      <c r="G14" s="84">
        <f t="shared" si="12"/>
        <v>39.329499999999982</v>
      </c>
      <c r="H14" s="84">
        <f t="shared" si="13"/>
        <v>6.9404999999999974</v>
      </c>
      <c r="I14" s="84">
        <f>J14+K14</f>
        <v>0</v>
      </c>
      <c r="J14" s="90"/>
      <c r="K14" s="90"/>
      <c r="L14" s="84">
        <f t="shared" si="11"/>
        <v>430.5</v>
      </c>
      <c r="M14" s="84">
        <f t="shared" si="4"/>
        <v>423.55950000000001</v>
      </c>
      <c r="N14" s="84">
        <f t="shared" si="5"/>
        <v>6.9404999999999974</v>
      </c>
      <c r="O14" s="94">
        <f t="shared" si="6"/>
        <v>290.72000000000003</v>
      </c>
      <c r="P14" s="94">
        <v>290.72000000000003</v>
      </c>
      <c r="Q14" s="94"/>
      <c r="R14" s="94">
        <f t="shared" si="7"/>
        <v>0</v>
      </c>
      <c r="S14" s="94"/>
      <c r="T14" s="94"/>
      <c r="U14" s="94">
        <f t="shared" si="8"/>
        <v>0</v>
      </c>
      <c r="V14" s="94"/>
      <c r="W14" s="94"/>
      <c r="X14" s="94">
        <f t="shared" si="9"/>
        <v>290.72000000000003</v>
      </c>
      <c r="Y14" s="94">
        <f>P14+S14+V14</f>
        <v>290.72000000000003</v>
      </c>
      <c r="Z14" s="94"/>
      <c r="AA14" s="106">
        <f t="shared" si="1"/>
        <v>67.530778164924513</v>
      </c>
      <c r="AB14" s="129">
        <v>429</v>
      </c>
      <c r="AC14" s="131">
        <f t="shared" si="3"/>
        <v>99.651567944250871</v>
      </c>
    </row>
    <row r="15" spans="1:29" ht="31.5" x14ac:dyDescent="0.25">
      <c r="A15" s="8">
        <v>2</v>
      </c>
      <c r="B15" s="116" t="s">
        <v>113</v>
      </c>
      <c r="C15" s="83"/>
      <c r="D15" s="83"/>
      <c r="E15" s="83"/>
      <c r="F15" s="79">
        <f>G15+H15</f>
        <v>30.841000000000001</v>
      </c>
      <c r="G15" s="84">
        <v>23.341000000000001</v>
      </c>
      <c r="H15" s="84">
        <v>7.5</v>
      </c>
      <c r="I15" s="84">
        <f>J15+K15</f>
        <v>8.1590000000000007</v>
      </c>
      <c r="J15" s="84">
        <v>8.1590000000000007</v>
      </c>
      <c r="K15" s="84"/>
      <c r="L15" s="84">
        <f t="shared" si="11"/>
        <v>39</v>
      </c>
      <c r="M15" s="84">
        <f t="shared" si="4"/>
        <v>31.5</v>
      </c>
      <c r="N15" s="84">
        <f t="shared" si="5"/>
        <v>7.5</v>
      </c>
      <c r="O15" s="94">
        <f t="shared" si="6"/>
        <v>0</v>
      </c>
      <c r="P15" s="94"/>
      <c r="Q15" s="94"/>
      <c r="R15" s="94">
        <f t="shared" si="7"/>
        <v>0</v>
      </c>
      <c r="S15" s="94"/>
      <c r="T15" s="94"/>
      <c r="U15" s="94">
        <f t="shared" si="8"/>
        <v>0</v>
      </c>
      <c r="V15" s="94"/>
      <c r="W15" s="94"/>
      <c r="X15" s="94">
        <f t="shared" si="9"/>
        <v>0</v>
      </c>
      <c r="Y15" s="94"/>
      <c r="Z15" s="94"/>
      <c r="AA15" s="106">
        <f t="shared" si="1"/>
        <v>0</v>
      </c>
      <c r="AB15" s="129"/>
      <c r="AC15" s="131">
        <f t="shared" si="3"/>
        <v>0</v>
      </c>
    </row>
    <row r="16" spans="1:29" ht="42.75" customHeight="1" x14ac:dyDescent="0.25">
      <c r="A16" s="132" t="s">
        <v>3</v>
      </c>
      <c r="B16" s="133" t="s">
        <v>114</v>
      </c>
      <c r="C16" s="129">
        <f>C17+C18</f>
        <v>0</v>
      </c>
      <c r="D16" s="129">
        <f t="shared" ref="D16:AB16" si="15">D17+D18</f>
        <v>0</v>
      </c>
      <c r="E16" s="129">
        <f t="shared" si="15"/>
        <v>0</v>
      </c>
      <c r="F16" s="134">
        <f t="shared" si="15"/>
        <v>14.499599999999999</v>
      </c>
      <c r="G16" s="134">
        <f t="shared" si="15"/>
        <v>14.499599999999999</v>
      </c>
      <c r="H16" s="134">
        <f t="shared" si="15"/>
        <v>0</v>
      </c>
      <c r="I16" s="134">
        <f t="shared" si="15"/>
        <v>296</v>
      </c>
      <c r="J16" s="134">
        <f t="shared" si="15"/>
        <v>257</v>
      </c>
      <c r="K16" s="134">
        <f t="shared" si="15"/>
        <v>39</v>
      </c>
      <c r="L16" s="134">
        <f t="shared" si="15"/>
        <v>310.49959999999999</v>
      </c>
      <c r="M16" s="134">
        <f t="shared" si="15"/>
        <v>271.49959999999999</v>
      </c>
      <c r="N16" s="134">
        <f t="shared" si="15"/>
        <v>39</v>
      </c>
      <c r="O16" s="134">
        <f t="shared" si="15"/>
        <v>0</v>
      </c>
      <c r="P16" s="134">
        <f t="shared" si="15"/>
        <v>0</v>
      </c>
      <c r="Q16" s="134">
        <f t="shared" si="15"/>
        <v>0</v>
      </c>
      <c r="R16" s="134">
        <f t="shared" si="15"/>
        <v>0</v>
      </c>
      <c r="S16" s="134">
        <f t="shared" si="15"/>
        <v>0</v>
      </c>
      <c r="T16" s="134">
        <f t="shared" si="15"/>
        <v>0</v>
      </c>
      <c r="U16" s="134">
        <f t="shared" si="15"/>
        <v>177.01400000000001</v>
      </c>
      <c r="V16" s="134">
        <f t="shared" si="15"/>
        <v>141</v>
      </c>
      <c r="W16" s="134">
        <f t="shared" si="15"/>
        <v>36.014000000000003</v>
      </c>
      <c r="X16" s="134">
        <f t="shared" si="15"/>
        <v>177.01400000000001</v>
      </c>
      <c r="Y16" s="134">
        <f t="shared" si="15"/>
        <v>141</v>
      </c>
      <c r="Z16" s="134">
        <f t="shared" si="15"/>
        <v>36.014000000000003</v>
      </c>
      <c r="AA16" s="95">
        <f t="shared" si="1"/>
        <v>57.009413216635387</v>
      </c>
      <c r="AB16" s="134">
        <f t="shared" si="15"/>
        <v>279</v>
      </c>
      <c r="AC16" s="131">
        <f t="shared" si="3"/>
        <v>89.855188219244084</v>
      </c>
    </row>
    <row r="17" spans="1:29" ht="49.5" x14ac:dyDescent="0.25">
      <c r="A17" s="135">
        <v>1</v>
      </c>
      <c r="B17" s="136" t="s">
        <v>115</v>
      </c>
      <c r="C17" s="129"/>
      <c r="D17" s="129"/>
      <c r="E17" s="129"/>
      <c r="F17" s="129">
        <v>0.34759999999999991</v>
      </c>
      <c r="G17" s="129">
        <v>0.34759999999999991</v>
      </c>
      <c r="H17" s="129"/>
      <c r="I17" s="129">
        <f>J17+K17</f>
        <v>276</v>
      </c>
      <c r="J17" s="129">
        <v>240</v>
      </c>
      <c r="K17" s="129">
        <v>36</v>
      </c>
      <c r="L17" s="84">
        <f t="shared" si="11"/>
        <v>276.3476</v>
      </c>
      <c r="M17" s="84">
        <f t="shared" si="4"/>
        <v>240.3476</v>
      </c>
      <c r="N17" s="84">
        <f t="shared" si="5"/>
        <v>36</v>
      </c>
      <c r="O17" s="82">
        <f t="shared" si="6"/>
        <v>0</v>
      </c>
      <c r="P17" s="82"/>
      <c r="Q17" s="82"/>
      <c r="R17" s="82">
        <f t="shared" si="7"/>
        <v>0</v>
      </c>
      <c r="S17" s="82"/>
      <c r="T17" s="82"/>
      <c r="U17" s="94">
        <f>V17+W17</f>
        <v>177.01400000000001</v>
      </c>
      <c r="V17" s="94">
        <v>141</v>
      </c>
      <c r="W17" s="94">
        <v>36.014000000000003</v>
      </c>
      <c r="X17" s="94">
        <f t="shared" si="9"/>
        <v>177.01400000000001</v>
      </c>
      <c r="Y17" s="94">
        <f>V17</f>
        <v>141</v>
      </c>
      <c r="Z17" s="94">
        <f>W17</f>
        <v>36.014000000000003</v>
      </c>
      <c r="AA17" s="106">
        <f t="shared" si="1"/>
        <v>64.054835287152841</v>
      </c>
      <c r="AB17" s="129">
        <v>279</v>
      </c>
      <c r="AC17" s="131">
        <f t="shared" si="3"/>
        <v>100.9598056939883</v>
      </c>
    </row>
    <row r="18" spans="1:29" ht="49.5" x14ac:dyDescent="0.25">
      <c r="A18" s="135">
        <v>2</v>
      </c>
      <c r="B18" s="136" t="s">
        <v>116</v>
      </c>
      <c r="C18" s="129"/>
      <c r="D18" s="129"/>
      <c r="E18" s="129"/>
      <c r="F18" s="129">
        <f>G18</f>
        <v>14.151999999999999</v>
      </c>
      <c r="G18" s="129">
        <v>14.151999999999999</v>
      </c>
      <c r="H18" s="129"/>
      <c r="I18" s="129">
        <f>J18+K18</f>
        <v>20</v>
      </c>
      <c r="J18" s="129">
        <v>17</v>
      </c>
      <c r="K18" s="129">
        <v>3</v>
      </c>
      <c r="L18" s="84">
        <f t="shared" si="11"/>
        <v>34.152000000000001</v>
      </c>
      <c r="M18" s="84">
        <f t="shared" si="4"/>
        <v>31.152000000000001</v>
      </c>
      <c r="N18" s="84">
        <f t="shared" si="5"/>
        <v>3</v>
      </c>
      <c r="O18" s="82">
        <f t="shared" si="6"/>
        <v>0</v>
      </c>
      <c r="P18" s="82"/>
      <c r="Q18" s="82"/>
      <c r="R18" s="82">
        <f t="shared" si="7"/>
        <v>0</v>
      </c>
      <c r="S18" s="82"/>
      <c r="T18" s="82"/>
      <c r="U18" s="82">
        <f t="shared" si="8"/>
        <v>0</v>
      </c>
      <c r="V18" s="82"/>
      <c r="W18" s="82"/>
      <c r="X18" s="82">
        <f t="shared" si="9"/>
        <v>0</v>
      </c>
      <c r="Y18" s="82"/>
      <c r="Z18" s="94"/>
      <c r="AA18" s="106">
        <f>X18/L18*100</f>
        <v>0</v>
      </c>
      <c r="AB18" s="129"/>
      <c r="AC18" s="131">
        <f t="shared" si="3"/>
        <v>0</v>
      </c>
    </row>
    <row r="19" spans="1:29" ht="23.25" customHeight="1" x14ac:dyDescent="0.25">
      <c r="A19" s="5" t="s">
        <v>4</v>
      </c>
      <c r="B19" s="137" t="s">
        <v>117</v>
      </c>
      <c r="C19" s="83">
        <f>C20+C21</f>
        <v>0</v>
      </c>
      <c r="D19" s="83">
        <f t="shared" ref="D19:N19" si="16">D20+D21</f>
        <v>0</v>
      </c>
      <c r="E19" s="83">
        <f t="shared" si="16"/>
        <v>0</v>
      </c>
      <c r="F19" s="83">
        <f t="shared" si="16"/>
        <v>7.7200000000000273</v>
      </c>
      <c r="G19" s="83">
        <f t="shared" si="16"/>
        <v>6.5620000000000234</v>
      </c>
      <c r="H19" s="83">
        <f t="shared" si="16"/>
        <v>1.1580000000000041</v>
      </c>
      <c r="I19" s="83">
        <f t="shared" si="16"/>
        <v>1420</v>
      </c>
      <c r="J19" s="83">
        <f t="shared" si="16"/>
        <v>1207</v>
      </c>
      <c r="K19" s="83">
        <f t="shared" si="16"/>
        <v>213</v>
      </c>
      <c r="L19" s="83">
        <f t="shared" si="16"/>
        <v>1427.7200000000003</v>
      </c>
      <c r="M19" s="83">
        <f t="shared" si="16"/>
        <v>1213.5620000000001</v>
      </c>
      <c r="N19" s="83">
        <f t="shared" si="16"/>
        <v>214.15800000000002</v>
      </c>
      <c r="O19" s="83">
        <f>O20+O21</f>
        <v>0</v>
      </c>
      <c r="P19" s="83">
        <f t="shared" ref="P19" si="17">P20+P21</f>
        <v>0</v>
      </c>
      <c r="Q19" s="83">
        <f t="shared" ref="Q19" si="18">Q20+Q21</f>
        <v>0</v>
      </c>
      <c r="R19" s="83">
        <f t="shared" ref="R19" si="19">R20+R21</f>
        <v>0</v>
      </c>
      <c r="S19" s="83">
        <f t="shared" ref="S19" si="20">S20+S21</f>
        <v>0</v>
      </c>
      <c r="T19" s="83">
        <f t="shared" ref="T19" si="21">T20+T21</f>
        <v>0</v>
      </c>
      <c r="U19" s="83">
        <f t="shared" ref="U19" si="22">U20+U21</f>
        <v>948.26199999999994</v>
      </c>
      <c r="V19" s="83">
        <f t="shared" ref="V19" si="23">V20+V21</f>
        <v>735.26199999999994</v>
      </c>
      <c r="W19" s="83">
        <f t="shared" ref="W19" si="24">W20+W21</f>
        <v>213</v>
      </c>
      <c r="X19" s="83">
        <f t="shared" ref="X19" si="25">X20+X21</f>
        <v>948.26199999999994</v>
      </c>
      <c r="Y19" s="83">
        <f t="shared" ref="Y19" si="26">Y20+Y21</f>
        <v>735.26199999999994</v>
      </c>
      <c r="Z19" s="83">
        <f t="shared" ref="Z19:AB19" si="27">Z20+Z21</f>
        <v>213</v>
      </c>
      <c r="AA19" s="106">
        <f t="shared" ref="AA19:AA71" si="28">X19/L19*100</f>
        <v>66.417925083349658</v>
      </c>
      <c r="AB19" s="83">
        <f t="shared" si="27"/>
        <v>920</v>
      </c>
      <c r="AC19" s="131">
        <f t="shared" si="3"/>
        <v>64.438405289552563</v>
      </c>
    </row>
    <row r="20" spans="1:29" ht="31.5" x14ac:dyDescent="0.25">
      <c r="A20" s="8">
        <v>1</v>
      </c>
      <c r="B20" s="122" t="s">
        <v>0</v>
      </c>
      <c r="C20" s="89"/>
      <c r="D20" s="83"/>
      <c r="E20" s="83"/>
      <c r="F20" s="79">
        <v>7.7200000000000273</v>
      </c>
      <c r="G20" s="84">
        <f>F20-H20</f>
        <v>6.5620000000000234</v>
      </c>
      <c r="H20" s="84">
        <f>F20*15%</f>
        <v>1.1580000000000041</v>
      </c>
      <c r="I20" s="84">
        <f>J20+K20</f>
        <v>1400</v>
      </c>
      <c r="J20" s="90">
        <f>935+255</f>
        <v>1190</v>
      </c>
      <c r="K20" s="90">
        <f>165+45</f>
        <v>210</v>
      </c>
      <c r="L20" s="84">
        <f t="shared" si="11"/>
        <v>1407.7200000000003</v>
      </c>
      <c r="M20" s="84">
        <f t="shared" si="4"/>
        <v>1196.5620000000001</v>
      </c>
      <c r="N20" s="84">
        <f t="shared" si="5"/>
        <v>211.15800000000002</v>
      </c>
      <c r="O20" s="82">
        <f t="shared" si="6"/>
        <v>0</v>
      </c>
      <c r="P20" s="82"/>
      <c r="Q20" s="82"/>
      <c r="R20" s="82">
        <f t="shared" si="7"/>
        <v>0</v>
      </c>
      <c r="S20" s="82"/>
      <c r="T20" s="82"/>
      <c r="U20" s="94">
        <f t="shared" si="8"/>
        <v>928.26199999999994</v>
      </c>
      <c r="V20" s="94">
        <v>718.26199999999994</v>
      </c>
      <c r="W20" s="94">
        <v>210</v>
      </c>
      <c r="X20" s="82">
        <f t="shared" si="9"/>
        <v>928.26199999999994</v>
      </c>
      <c r="Y20" s="82">
        <f>V20</f>
        <v>718.26199999999994</v>
      </c>
      <c r="Z20" s="82">
        <f>W20</f>
        <v>210</v>
      </c>
      <c r="AA20" s="106">
        <f t="shared" si="28"/>
        <v>65.940812093313994</v>
      </c>
      <c r="AB20" s="129">
        <v>900</v>
      </c>
      <c r="AC20" s="131">
        <f t="shared" si="3"/>
        <v>63.93316852783223</v>
      </c>
    </row>
    <row r="21" spans="1:29" ht="31.5" x14ac:dyDescent="0.25">
      <c r="A21" s="8">
        <v>2</v>
      </c>
      <c r="B21" s="122" t="s">
        <v>143</v>
      </c>
      <c r="C21" s="89"/>
      <c r="D21" s="83"/>
      <c r="E21" s="83"/>
      <c r="F21" s="83"/>
      <c r="G21" s="84">
        <f t="shared" ref="G21:G71" si="29">F21-H21</f>
        <v>0</v>
      </c>
      <c r="H21" s="84">
        <f t="shared" ref="H21:H71" si="30">F21*15%</f>
        <v>0</v>
      </c>
      <c r="I21" s="84">
        <f>J21+K21</f>
        <v>20</v>
      </c>
      <c r="J21" s="129">
        <v>17</v>
      </c>
      <c r="K21" s="129">
        <v>3</v>
      </c>
      <c r="L21" s="84">
        <f t="shared" si="11"/>
        <v>20</v>
      </c>
      <c r="M21" s="84">
        <f t="shared" si="4"/>
        <v>17</v>
      </c>
      <c r="N21" s="84">
        <f t="shared" si="5"/>
        <v>3</v>
      </c>
      <c r="O21" s="82">
        <f t="shared" si="6"/>
        <v>0</v>
      </c>
      <c r="P21" s="82"/>
      <c r="Q21" s="82"/>
      <c r="R21" s="82">
        <f t="shared" si="7"/>
        <v>0</v>
      </c>
      <c r="S21" s="82"/>
      <c r="T21" s="82"/>
      <c r="U21" s="94">
        <f t="shared" si="8"/>
        <v>20</v>
      </c>
      <c r="V21" s="94">
        <v>17</v>
      </c>
      <c r="W21" s="94">
        <v>3</v>
      </c>
      <c r="X21" s="82">
        <f t="shared" si="9"/>
        <v>20</v>
      </c>
      <c r="Y21" s="82">
        <f>V21</f>
        <v>17</v>
      </c>
      <c r="Z21" s="82">
        <f>W21</f>
        <v>3</v>
      </c>
      <c r="AA21" s="106">
        <f t="shared" si="28"/>
        <v>100</v>
      </c>
      <c r="AB21" s="129">
        <v>20</v>
      </c>
      <c r="AC21" s="131">
        <f t="shared" si="3"/>
        <v>100</v>
      </c>
    </row>
    <row r="22" spans="1:29" ht="23.25" customHeight="1" x14ac:dyDescent="0.25">
      <c r="A22" s="5" t="s">
        <v>5</v>
      </c>
      <c r="B22" s="137" t="s">
        <v>118</v>
      </c>
      <c r="C22" s="91">
        <f>C23+C24</f>
        <v>0</v>
      </c>
      <c r="D22" s="91">
        <f t="shared" ref="D22:AB22" si="31">D23+D24</f>
        <v>0</v>
      </c>
      <c r="E22" s="91">
        <f t="shared" si="31"/>
        <v>0</v>
      </c>
      <c r="F22" s="91">
        <f t="shared" si="31"/>
        <v>1.8007999999999811</v>
      </c>
      <c r="G22" s="91">
        <f t="shared" si="31"/>
        <v>1.5306799999999838</v>
      </c>
      <c r="H22" s="91">
        <f t="shared" si="31"/>
        <v>0.27011999999999714</v>
      </c>
      <c r="I22" s="91">
        <f t="shared" si="31"/>
        <v>1320.8</v>
      </c>
      <c r="J22" s="91">
        <f t="shared" si="31"/>
        <v>1122.8</v>
      </c>
      <c r="K22" s="91">
        <f t="shared" si="31"/>
        <v>198</v>
      </c>
      <c r="L22" s="91">
        <f t="shared" si="31"/>
        <v>1322.6007999999999</v>
      </c>
      <c r="M22" s="91">
        <f t="shared" si="31"/>
        <v>1124.33068</v>
      </c>
      <c r="N22" s="91">
        <f t="shared" si="31"/>
        <v>198.27011999999999</v>
      </c>
      <c r="O22" s="91">
        <f t="shared" si="31"/>
        <v>0</v>
      </c>
      <c r="P22" s="91">
        <f t="shared" si="31"/>
        <v>0</v>
      </c>
      <c r="Q22" s="91">
        <f t="shared" si="31"/>
        <v>0</v>
      </c>
      <c r="R22" s="91">
        <f t="shared" si="31"/>
        <v>0</v>
      </c>
      <c r="S22" s="91">
        <f t="shared" si="31"/>
        <v>0</v>
      </c>
      <c r="T22" s="91">
        <f t="shared" si="31"/>
        <v>0</v>
      </c>
      <c r="U22" s="91">
        <f t="shared" si="31"/>
        <v>721.4</v>
      </c>
      <c r="V22" s="91">
        <f t="shared" si="31"/>
        <v>721.4</v>
      </c>
      <c r="W22" s="91">
        <f t="shared" si="31"/>
        <v>0</v>
      </c>
      <c r="X22" s="91">
        <f t="shared" si="31"/>
        <v>721.4</v>
      </c>
      <c r="Y22" s="91">
        <f t="shared" si="31"/>
        <v>721.4</v>
      </c>
      <c r="Z22" s="91">
        <f t="shared" si="31"/>
        <v>0</v>
      </c>
      <c r="AA22" s="106">
        <f t="shared" si="28"/>
        <v>54.544046850720186</v>
      </c>
      <c r="AB22" s="91">
        <f t="shared" si="31"/>
        <v>750</v>
      </c>
      <c r="AC22" s="131">
        <f t="shared" si="3"/>
        <v>56.70645292215157</v>
      </c>
    </row>
    <row r="23" spans="1:29" ht="31.5" x14ac:dyDescent="0.25">
      <c r="A23" s="8">
        <v>1</v>
      </c>
      <c r="B23" s="122" t="s">
        <v>0</v>
      </c>
      <c r="C23" s="89"/>
      <c r="D23" s="83"/>
      <c r="E23" s="83"/>
      <c r="F23" s="79">
        <v>1.8007999999999811</v>
      </c>
      <c r="G23" s="84">
        <f t="shared" si="29"/>
        <v>1.5306799999999838</v>
      </c>
      <c r="H23" s="84">
        <f t="shared" si="30"/>
        <v>0.27011999999999714</v>
      </c>
      <c r="I23" s="84">
        <f t="shared" ref="I23:I67" si="32">J23+K23</f>
        <v>1300.8</v>
      </c>
      <c r="J23" s="90">
        <f>425+221+459.8</f>
        <v>1105.8</v>
      </c>
      <c r="K23" s="90">
        <f>75+39+81</f>
        <v>195</v>
      </c>
      <c r="L23" s="84">
        <f t="shared" si="11"/>
        <v>1302.6007999999999</v>
      </c>
      <c r="M23" s="84">
        <f t="shared" si="4"/>
        <v>1107.33068</v>
      </c>
      <c r="N23" s="84">
        <f t="shared" si="5"/>
        <v>195.27011999999999</v>
      </c>
      <c r="O23" s="82">
        <f t="shared" si="6"/>
        <v>0</v>
      </c>
      <c r="P23" s="82"/>
      <c r="Q23" s="82"/>
      <c r="R23" s="82">
        <f t="shared" si="7"/>
        <v>0</v>
      </c>
      <c r="S23" s="82"/>
      <c r="T23" s="82"/>
      <c r="U23" s="82">
        <f t="shared" si="8"/>
        <v>721.4</v>
      </c>
      <c r="V23" s="82">
        <v>721.4</v>
      </c>
      <c r="W23" s="82"/>
      <c r="X23" s="82">
        <f t="shared" si="9"/>
        <v>721.4</v>
      </c>
      <c r="Y23" s="82">
        <f>V23+S23+P23</f>
        <v>721.4</v>
      </c>
      <c r="Z23" s="82"/>
      <c r="AA23" s="106">
        <f t="shared" si="28"/>
        <v>55.381510590197699</v>
      </c>
      <c r="AB23" s="129">
        <v>750</v>
      </c>
      <c r="AC23" s="131">
        <f t="shared" si="3"/>
        <v>57.577118024186689</v>
      </c>
    </row>
    <row r="24" spans="1:29" ht="31.5" x14ac:dyDescent="0.25">
      <c r="A24" s="8">
        <v>2</v>
      </c>
      <c r="B24" s="122" t="s">
        <v>143</v>
      </c>
      <c r="C24" s="89"/>
      <c r="D24" s="83"/>
      <c r="E24" s="83"/>
      <c r="F24" s="83"/>
      <c r="G24" s="84">
        <f t="shared" si="29"/>
        <v>0</v>
      </c>
      <c r="H24" s="84">
        <f t="shared" si="30"/>
        <v>0</v>
      </c>
      <c r="I24" s="84">
        <f t="shared" si="32"/>
        <v>20</v>
      </c>
      <c r="J24" s="129">
        <v>17</v>
      </c>
      <c r="K24" s="129">
        <v>3</v>
      </c>
      <c r="L24" s="84">
        <f t="shared" si="11"/>
        <v>20</v>
      </c>
      <c r="M24" s="84">
        <f t="shared" si="4"/>
        <v>17</v>
      </c>
      <c r="N24" s="84">
        <f t="shared" si="5"/>
        <v>3</v>
      </c>
      <c r="O24" s="82">
        <f t="shared" si="6"/>
        <v>0</v>
      </c>
      <c r="P24" s="82"/>
      <c r="Q24" s="82"/>
      <c r="R24" s="82">
        <f t="shared" si="7"/>
        <v>0</v>
      </c>
      <c r="S24" s="82"/>
      <c r="T24" s="82"/>
      <c r="U24" s="82">
        <f t="shared" si="8"/>
        <v>0</v>
      </c>
      <c r="V24" s="82"/>
      <c r="W24" s="82"/>
      <c r="X24" s="82">
        <f t="shared" si="9"/>
        <v>0</v>
      </c>
      <c r="Y24" s="82"/>
      <c r="Z24" s="82"/>
      <c r="AA24" s="106">
        <f t="shared" si="28"/>
        <v>0</v>
      </c>
      <c r="AB24" s="129"/>
      <c r="AC24" s="131">
        <f t="shared" si="3"/>
        <v>0</v>
      </c>
    </row>
    <row r="25" spans="1:29" s="126" customFormat="1" x14ac:dyDescent="0.25">
      <c r="A25" s="20" t="s">
        <v>16</v>
      </c>
      <c r="B25" s="137" t="s">
        <v>119</v>
      </c>
      <c r="C25" s="134">
        <f>C26+C27</f>
        <v>0</v>
      </c>
      <c r="D25" s="134">
        <f t="shared" ref="D25:AB25" si="33">D26+D27</f>
        <v>0</v>
      </c>
      <c r="E25" s="134">
        <f t="shared" si="33"/>
        <v>0</v>
      </c>
      <c r="F25" s="134">
        <f t="shared" si="33"/>
        <v>1.0760000000000218</v>
      </c>
      <c r="G25" s="134">
        <f t="shared" si="33"/>
        <v>0.91460000000001851</v>
      </c>
      <c r="H25" s="134">
        <f t="shared" si="33"/>
        <v>0.16140000000000326</v>
      </c>
      <c r="I25" s="134">
        <f t="shared" si="33"/>
        <v>520</v>
      </c>
      <c r="J25" s="134">
        <f t="shared" si="33"/>
        <v>442</v>
      </c>
      <c r="K25" s="134">
        <f t="shared" si="33"/>
        <v>78</v>
      </c>
      <c r="L25" s="134">
        <f t="shared" si="33"/>
        <v>521.07600000000002</v>
      </c>
      <c r="M25" s="134">
        <f t="shared" si="33"/>
        <v>442.91460000000001</v>
      </c>
      <c r="N25" s="134">
        <f t="shared" si="33"/>
        <v>78.1614</v>
      </c>
      <c r="O25" s="134">
        <f t="shared" si="33"/>
        <v>0</v>
      </c>
      <c r="P25" s="134">
        <f t="shared" si="33"/>
        <v>0</v>
      </c>
      <c r="Q25" s="134">
        <f t="shared" si="33"/>
        <v>0</v>
      </c>
      <c r="R25" s="134">
        <f t="shared" si="33"/>
        <v>0.62</v>
      </c>
      <c r="S25" s="134">
        <f t="shared" si="33"/>
        <v>0.62</v>
      </c>
      <c r="T25" s="134">
        <f t="shared" si="33"/>
        <v>0</v>
      </c>
      <c r="U25" s="134">
        <f t="shared" si="33"/>
        <v>520</v>
      </c>
      <c r="V25" s="134">
        <f t="shared" si="33"/>
        <v>442</v>
      </c>
      <c r="W25" s="134">
        <f t="shared" si="33"/>
        <v>78</v>
      </c>
      <c r="X25" s="134">
        <f t="shared" si="33"/>
        <v>520.62</v>
      </c>
      <c r="Y25" s="134">
        <f t="shared" si="33"/>
        <v>442.62</v>
      </c>
      <c r="Z25" s="134">
        <f t="shared" si="33"/>
        <v>78</v>
      </c>
      <c r="AA25" s="106">
        <f t="shared" si="28"/>
        <v>99.912488773230763</v>
      </c>
      <c r="AB25" s="134">
        <f t="shared" si="33"/>
        <v>500</v>
      </c>
      <c r="AC25" s="131">
        <f t="shared" si="3"/>
        <v>95.955292510113694</v>
      </c>
    </row>
    <row r="26" spans="1:29" s="126" customFormat="1" ht="33.75" customHeight="1" x14ac:dyDescent="0.25">
      <c r="A26" s="20">
        <v>1</v>
      </c>
      <c r="B26" s="122" t="s">
        <v>0</v>
      </c>
      <c r="C26" s="134"/>
      <c r="D26" s="83"/>
      <c r="E26" s="83"/>
      <c r="F26" s="84">
        <v>1.0760000000000218</v>
      </c>
      <c r="G26" s="84">
        <f t="shared" si="29"/>
        <v>0.91460000000001851</v>
      </c>
      <c r="H26" s="84">
        <f t="shared" si="30"/>
        <v>0.16140000000000326</v>
      </c>
      <c r="I26" s="84">
        <f t="shared" si="32"/>
        <v>500</v>
      </c>
      <c r="J26" s="90">
        <v>425</v>
      </c>
      <c r="K26" s="90">
        <v>75</v>
      </c>
      <c r="L26" s="84">
        <f t="shared" si="11"/>
        <v>501.07600000000002</v>
      </c>
      <c r="M26" s="84">
        <f t="shared" si="4"/>
        <v>425.91460000000001</v>
      </c>
      <c r="N26" s="84">
        <f t="shared" si="5"/>
        <v>75.1614</v>
      </c>
      <c r="O26" s="82">
        <f t="shared" si="6"/>
        <v>0</v>
      </c>
      <c r="P26" s="83"/>
      <c r="Q26" s="83"/>
      <c r="R26" s="82">
        <f t="shared" si="7"/>
        <v>0.62</v>
      </c>
      <c r="S26" s="83">
        <v>0.62</v>
      </c>
      <c r="T26" s="83"/>
      <c r="U26" s="82">
        <f t="shared" si="8"/>
        <v>500</v>
      </c>
      <c r="V26" s="83">
        <v>425</v>
      </c>
      <c r="W26" s="83">
        <v>75</v>
      </c>
      <c r="X26" s="82">
        <f t="shared" si="9"/>
        <v>500.62</v>
      </c>
      <c r="Y26" s="83">
        <f>V26+S26</f>
        <v>425.62</v>
      </c>
      <c r="Z26" s="83">
        <f>W26</f>
        <v>75</v>
      </c>
      <c r="AA26" s="106">
        <f t="shared" si="28"/>
        <v>99.908995840950283</v>
      </c>
      <c r="AB26" s="129">
        <v>500</v>
      </c>
      <c r="AC26" s="131">
        <f t="shared" si="3"/>
        <v>99.785262115926514</v>
      </c>
    </row>
    <row r="27" spans="1:29" s="126" customFormat="1" ht="31.5" x14ac:dyDescent="0.25">
      <c r="A27" s="9">
        <v>2</v>
      </c>
      <c r="B27" s="122" t="s">
        <v>143</v>
      </c>
      <c r="C27" s="134"/>
      <c r="D27" s="83"/>
      <c r="E27" s="83"/>
      <c r="F27" s="83"/>
      <c r="G27" s="84">
        <f t="shared" si="29"/>
        <v>0</v>
      </c>
      <c r="H27" s="84">
        <f t="shared" si="30"/>
        <v>0</v>
      </c>
      <c r="I27" s="84">
        <f t="shared" si="32"/>
        <v>20</v>
      </c>
      <c r="J27" s="129">
        <v>17</v>
      </c>
      <c r="K27" s="129">
        <v>3</v>
      </c>
      <c r="L27" s="84">
        <f t="shared" si="11"/>
        <v>20</v>
      </c>
      <c r="M27" s="84">
        <f t="shared" si="4"/>
        <v>17</v>
      </c>
      <c r="N27" s="84">
        <f t="shared" si="5"/>
        <v>3</v>
      </c>
      <c r="O27" s="82">
        <f t="shared" si="6"/>
        <v>0</v>
      </c>
      <c r="P27" s="84"/>
      <c r="Q27" s="84"/>
      <c r="R27" s="82">
        <f t="shared" si="7"/>
        <v>0</v>
      </c>
      <c r="S27" s="84"/>
      <c r="T27" s="84"/>
      <c r="U27" s="82">
        <f t="shared" si="8"/>
        <v>20</v>
      </c>
      <c r="V27" s="84">
        <v>17</v>
      </c>
      <c r="W27" s="84">
        <v>3</v>
      </c>
      <c r="X27" s="82">
        <f t="shared" si="9"/>
        <v>20</v>
      </c>
      <c r="Y27" s="84">
        <f>V27</f>
        <v>17</v>
      </c>
      <c r="Z27" s="84">
        <f>W27</f>
        <v>3</v>
      </c>
      <c r="AA27" s="106">
        <f t="shared" si="28"/>
        <v>100</v>
      </c>
      <c r="AB27" s="129"/>
      <c r="AC27" s="131">
        <f t="shared" si="3"/>
        <v>0</v>
      </c>
    </row>
    <row r="28" spans="1:29" s="126" customFormat="1" ht="33.75" customHeight="1" x14ac:dyDescent="0.25">
      <c r="A28" s="20" t="s">
        <v>88</v>
      </c>
      <c r="B28" s="137" t="s">
        <v>120</v>
      </c>
      <c r="C28" s="134">
        <f>C29+C30</f>
        <v>0</v>
      </c>
      <c r="D28" s="134">
        <f t="shared" ref="D28:AB28" si="34">D29+D30</f>
        <v>0</v>
      </c>
      <c r="E28" s="134">
        <f t="shared" si="34"/>
        <v>0</v>
      </c>
      <c r="F28" s="134">
        <f t="shared" si="34"/>
        <v>4.0599999999999454</v>
      </c>
      <c r="G28" s="134">
        <f t="shared" si="34"/>
        <v>3.4509999999999534</v>
      </c>
      <c r="H28" s="134">
        <f t="shared" si="34"/>
        <v>0.60899999999999177</v>
      </c>
      <c r="I28" s="134">
        <f t="shared" si="34"/>
        <v>750.28</v>
      </c>
      <c r="J28" s="134">
        <f t="shared" si="34"/>
        <v>637.78</v>
      </c>
      <c r="K28" s="134">
        <f t="shared" si="34"/>
        <v>112.5</v>
      </c>
      <c r="L28" s="134">
        <f t="shared" si="34"/>
        <v>754.33999999999992</v>
      </c>
      <c r="M28" s="134">
        <f t="shared" si="34"/>
        <v>641.23099999999988</v>
      </c>
      <c r="N28" s="134">
        <f t="shared" si="34"/>
        <v>113.10899999999999</v>
      </c>
      <c r="O28" s="134">
        <f t="shared" si="34"/>
        <v>0</v>
      </c>
      <c r="P28" s="134">
        <f t="shared" si="34"/>
        <v>0</v>
      </c>
      <c r="Q28" s="134">
        <f t="shared" si="34"/>
        <v>0</v>
      </c>
      <c r="R28" s="134">
        <f t="shared" si="34"/>
        <v>0</v>
      </c>
      <c r="S28" s="134">
        <f t="shared" si="34"/>
        <v>0</v>
      </c>
      <c r="T28" s="134">
        <f t="shared" si="34"/>
        <v>0</v>
      </c>
      <c r="U28" s="134">
        <f t="shared" si="34"/>
        <v>731.09</v>
      </c>
      <c r="V28" s="134">
        <f t="shared" si="34"/>
        <v>618.59</v>
      </c>
      <c r="W28" s="134">
        <f t="shared" si="34"/>
        <v>112.5</v>
      </c>
      <c r="X28" s="134">
        <f t="shared" si="34"/>
        <v>731.09</v>
      </c>
      <c r="Y28" s="134">
        <f t="shared" si="34"/>
        <v>618.59</v>
      </c>
      <c r="Z28" s="134">
        <f t="shared" si="34"/>
        <v>112.5</v>
      </c>
      <c r="AA28" s="106">
        <f t="shared" si="28"/>
        <v>96.917835458811695</v>
      </c>
      <c r="AB28" s="134">
        <f t="shared" si="34"/>
        <v>700</v>
      </c>
      <c r="AC28" s="131">
        <f t="shared" si="3"/>
        <v>92.796351777712985</v>
      </c>
    </row>
    <row r="29" spans="1:29" s="126" customFormat="1" ht="33.75" customHeight="1" x14ac:dyDescent="0.25">
      <c r="A29" s="9">
        <v>1</v>
      </c>
      <c r="B29" s="122" t="s">
        <v>0</v>
      </c>
      <c r="C29" s="134"/>
      <c r="D29" s="84"/>
      <c r="E29" s="84"/>
      <c r="F29" s="79">
        <v>4.0599999999999454</v>
      </c>
      <c r="G29" s="84">
        <f t="shared" si="29"/>
        <v>3.4509999999999534</v>
      </c>
      <c r="H29" s="84">
        <f t="shared" si="30"/>
        <v>0.60899999999999177</v>
      </c>
      <c r="I29" s="84">
        <f t="shared" si="32"/>
        <v>720.28</v>
      </c>
      <c r="J29" s="90">
        <f>425+187.28</f>
        <v>612.28</v>
      </c>
      <c r="K29" s="90">
        <f>75+33</f>
        <v>108</v>
      </c>
      <c r="L29" s="84">
        <f t="shared" si="11"/>
        <v>724.33999999999992</v>
      </c>
      <c r="M29" s="84">
        <f t="shared" si="4"/>
        <v>615.73099999999988</v>
      </c>
      <c r="N29" s="84">
        <f t="shared" si="5"/>
        <v>108.60899999999999</v>
      </c>
      <c r="O29" s="82">
        <f t="shared" si="6"/>
        <v>0</v>
      </c>
      <c r="P29" s="84"/>
      <c r="Q29" s="84"/>
      <c r="R29" s="82">
        <f t="shared" si="7"/>
        <v>0</v>
      </c>
      <c r="S29" s="84"/>
      <c r="T29" s="84"/>
      <c r="U29" s="82">
        <f t="shared" si="8"/>
        <v>701.09</v>
      </c>
      <c r="V29" s="84">
        <v>593.09</v>
      </c>
      <c r="W29" s="84">
        <v>108</v>
      </c>
      <c r="X29" s="82">
        <f t="shared" si="9"/>
        <v>701.09</v>
      </c>
      <c r="Y29" s="84">
        <f>V29</f>
        <v>593.09</v>
      </c>
      <c r="Z29" s="84">
        <f>W29</f>
        <v>108</v>
      </c>
      <c r="AA29" s="106">
        <f t="shared" si="28"/>
        <v>96.79018140652181</v>
      </c>
      <c r="AB29" s="129">
        <v>700</v>
      </c>
      <c r="AC29" s="131">
        <f t="shared" si="3"/>
        <v>96.639699588591</v>
      </c>
    </row>
    <row r="30" spans="1:29" s="126" customFormat="1" ht="31.5" x14ac:dyDescent="0.25">
      <c r="A30" s="9">
        <v>2</v>
      </c>
      <c r="B30" s="122" t="s">
        <v>143</v>
      </c>
      <c r="C30" s="134"/>
      <c r="D30" s="83"/>
      <c r="E30" s="83"/>
      <c r="F30" s="83"/>
      <c r="G30" s="84">
        <f t="shared" si="29"/>
        <v>0</v>
      </c>
      <c r="H30" s="84">
        <f t="shared" si="30"/>
        <v>0</v>
      </c>
      <c r="I30" s="84">
        <f t="shared" si="32"/>
        <v>30</v>
      </c>
      <c r="J30" s="129">
        <v>25.5</v>
      </c>
      <c r="K30" s="129">
        <v>4.5</v>
      </c>
      <c r="L30" s="84">
        <f t="shared" si="11"/>
        <v>30</v>
      </c>
      <c r="M30" s="84">
        <f t="shared" si="4"/>
        <v>25.5</v>
      </c>
      <c r="N30" s="84">
        <f t="shared" si="5"/>
        <v>4.5</v>
      </c>
      <c r="O30" s="82">
        <f t="shared" si="6"/>
        <v>0</v>
      </c>
      <c r="P30" s="84"/>
      <c r="Q30" s="84"/>
      <c r="R30" s="82">
        <f t="shared" si="7"/>
        <v>0</v>
      </c>
      <c r="S30" s="84"/>
      <c r="T30" s="84"/>
      <c r="U30" s="82">
        <f t="shared" si="8"/>
        <v>30</v>
      </c>
      <c r="V30" s="129">
        <v>25.5</v>
      </c>
      <c r="W30" s="129">
        <v>4.5</v>
      </c>
      <c r="X30" s="82">
        <f t="shared" si="9"/>
        <v>30</v>
      </c>
      <c r="Y30" s="84">
        <f>V30+S30+P30</f>
        <v>25.5</v>
      </c>
      <c r="Z30" s="84">
        <f>W30+T30+Q30</f>
        <v>4.5</v>
      </c>
      <c r="AA30" s="106">
        <f t="shared" si="28"/>
        <v>100</v>
      </c>
      <c r="AB30" s="129"/>
      <c r="AC30" s="131">
        <f t="shared" si="3"/>
        <v>0</v>
      </c>
    </row>
    <row r="31" spans="1:29" s="126" customFormat="1" ht="24" customHeight="1" x14ac:dyDescent="0.25">
      <c r="A31" s="20" t="s">
        <v>132</v>
      </c>
      <c r="B31" s="137" t="s">
        <v>121</v>
      </c>
      <c r="C31" s="134">
        <f>SUM(C32:C34)</f>
        <v>602.26966999999979</v>
      </c>
      <c r="D31" s="134">
        <f t="shared" ref="D31:AB31" si="35">SUM(D32:D34)</f>
        <v>582.06999999999982</v>
      </c>
      <c r="E31" s="134">
        <f t="shared" si="35"/>
        <v>20.199670000000001</v>
      </c>
      <c r="F31" s="134">
        <f t="shared" si="35"/>
        <v>407.73</v>
      </c>
      <c r="G31" s="134">
        <f t="shared" si="35"/>
        <v>346.57050000000004</v>
      </c>
      <c r="H31" s="134">
        <f t="shared" si="35"/>
        <v>61.159500000000001</v>
      </c>
      <c r="I31" s="134">
        <f t="shared" si="35"/>
        <v>430</v>
      </c>
      <c r="J31" s="134">
        <f t="shared" si="35"/>
        <v>365.5</v>
      </c>
      <c r="K31" s="134">
        <f t="shared" si="35"/>
        <v>64.5</v>
      </c>
      <c r="L31" s="134">
        <f t="shared" si="35"/>
        <v>1439.9996699999999</v>
      </c>
      <c r="M31" s="134">
        <f t="shared" si="35"/>
        <v>1294.1405</v>
      </c>
      <c r="N31" s="134">
        <f t="shared" si="35"/>
        <v>145.85917000000001</v>
      </c>
      <c r="O31" s="134">
        <f t="shared" si="35"/>
        <v>0</v>
      </c>
      <c r="P31" s="134">
        <f t="shared" si="35"/>
        <v>0</v>
      </c>
      <c r="Q31" s="134">
        <f t="shared" si="35"/>
        <v>0</v>
      </c>
      <c r="R31" s="134">
        <f t="shared" si="35"/>
        <v>0</v>
      </c>
      <c r="S31" s="134">
        <f t="shared" si="35"/>
        <v>0</v>
      </c>
      <c r="T31" s="134">
        <f t="shared" si="35"/>
        <v>0</v>
      </c>
      <c r="U31" s="134">
        <f t="shared" si="35"/>
        <v>442.392</v>
      </c>
      <c r="V31" s="134">
        <f t="shared" si="35"/>
        <v>365.5</v>
      </c>
      <c r="W31" s="134">
        <f t="shared" si="35"/>
        <v>76.891999999999996</v>
      </c>
      <c r="X31" s="134">
        <f t="shared" si="35"/>
        <v>442.392</v>
      </c>
      <c r="Y31" s="134">
        <f t="shared" si="35"/>
        <v>365.5</v>
      </c>
      <c r="Z31" s="134">
        <f>SUM(Z32:Z34)</f>
        <v>76.891999999999996</v>
      </c>
      <c r="AA31" s="95">
        <f t="shared" si="28"/>
        <v>30.721673707050222</v>
      </c>
      <c r="AB31" s="134">
        <f t="shared" si="35"/>
        <v>400</v>
      </c>
      <c r="AC31" s="131">
        <f t="shared" si="3"/>
        <v>27.77778414351998</v>
      </c>
    </row>
    <row r="32" spans="1:29" s="126" customFormat="1" ht="31.5" x14ac:dyDescent="0.25">
      <c r="A32" s="9">
        <v>1</v>
      </c>
      <c r="B32" s="122" t="s">
        <v>0</v>
      </c>
      <c r="C32" s="129">
        <f>D32+E32</f>
        <v>602.26966999999979</v>
      </c>
      <c r="D32" s="84">
        <v>582.06999999999982</v>
      </c>
      <c r="E32" s="84">
        <v>20.199670000000001</v>
      </c>
      <c r="F32" s="84">
        <v>407.73</v>
      </c>
      <c r="G32" s="84">
        <f t="shared" si="29"/>
        <v>346.57050000000004</v>
      </c>
      <c r="H32" s="84">
        <f t="shared" si="30"/>
        <v>61.159500000000001</v>
      </c>
      <c r="I32" s="84">
        <f t="shared" si="32"/>
        <v>0</v>
      </c>
      <c r="J32" s="83"/>
      <c r="K32" s="83"/>
      <c r="L32" s="84">
        <f t="shared" si="11"/>
        <v>1009.9996699999999</v>
      </c>
      <c r="M32" s="84">
        <f t="shared" si="4"/>
        <v>928.64049999999986</v>
      </c>
      <c r="N32" s="84">
        <f t="shared" si="5"/>
        <v>81.359170000000006</v>
      </c>
      <c r="O32" s="82">
        <f t="shared" si="6"/>
        <v>0</v>
      </c>
      <c r="P32" s="83"/>
      <c r="Q32" s="83"/>
      <c r="R32" s="82">
        <f t="shared" si="7"/>
        <v>0</v>
      </c>
      <c r="S32" s="83"/>
      <c r="T32" s="83"/>
      <c r="U32" s="94">
        <f t="shared" si="8"/>
        <v>12.391999999999999</v>
      </c>
      <c r="V32" s="84"/>
      <c r="W32" s="84">
        <v>12.391999999999999</v>
      </c>
      <c r="X32" s="94">
        <f t="shared" si="9"/>
        <v>12.391999999999999</v>
      </c>
      <c r="Y32" s="83"/>
      <c r="Z32" s="84">
        <f>W32</f>
        <v>12.391999999999999</v>
      </c>
      <c r="AA32" s="106">
        <f t="shared" si="28"/>
        <v>1.2269310939477833</v>
      </c>
      <c r="AB32" s="129"/>
      <c r="AC32" s="131">
        <f t="shared" si="3"/>
        <v>0</v>
      </c>
    </row>
    <row r="33" spans="1:29" s="126" customFormat="1" ht="49.5" x14ac:dyDescent="0.25">
      <c r="A33" s="9">
        <v>2</v>
      </c>
      <c r="B33" s="43" t="s">
        <v>142</v>
      </c>
      <c r="C33" s="134"/>
      <c r="D33" s="84"/>
      <c r="E33" s="84"/>
      <c r="F33" s="84"/>
      <c r="G33" s="84">
        <f t="shared" si="29"/>
        <v>0</v>
      </c>
      <c r="H33" s="84">
        <f t="shared" si="30"/>
        <v>0</v>
      </c>
      <c r="I33" s="84">
        <f t="shared" si="32"/>
        <v>400</v>
      </c>
      <c r="J33" s="90">
        <v>340</v>
      </c>
      <c r="K33" s="90">
        <v>60</v>
      </c>
      <c r="L33" s="84">
        <f t="shared" si="11"/>
        <v>400</v>
      </c>
      <c r="M33" s="84">
        <f t="shared" si="4"/>
        <v>340</v>
      </c>
      <c r="N33" s="84">
        <f t="shared" si="5"/>
        <v>60</v>
      </c>
      <c r="O33" s="82">
        <f t="shared" si="6"/>
        <v>0</v>
      </c>
      <c r="P33" s="84"/>
      <c r="Q33" s="84"/>
      <c r="R33" s="82">
        <f t="shared" si="7"/>
        <v>0</v>
      </c>
      <c r="S33" s="84"/>
      <c r="T33" s="84"/>
      <c r="U33" s="94">
        <f t="shared" si="8"/>
        <v>400</v>
      </c>
      <c r="V33" s="84">
        <v>340</v>
      </c>
      <c r="W33" s="84">
        <v>60</v>
      </c>
      <c r="X33" s="94">
        <f t="shared" si="9"/>
        <v>400</v>
      </c>
      <c r="Y33" s="84">
        <f>V33+S33+P33</f>
        <v>340</v>
      </c>
      <c r="Z33" s="84">
        <f>W33+T33+Q33</f>
        <v>60</v>
      </c>
      <c r="AA33" s="106">
        <f t="shared" si="28"/>
        <v>100</v>
      </c>
      <c r="AB33" s="129">
        <v>400</v>
      </c>
      <c r="AC33" s="131">
        <f t="shared" si="3"/>
        <v>100</v>
      </c>
    </row>
    <row r="34" spans="1:29" s="126" customFormat="1" ht="31.5" x14ac:dyDescent="0.25">
      <c r="A34" s="9">
        <v>3</v>
      </c>
      <c r="B34" s="122" t="s">
        <v>143</v>
      </c>
      <c r="C34" s="134"/>
      <c r="D34" s="83"/>
      <c r="E34" s="83"/>
      <c r="F34" s="83"/>
      <c r="G34" s="84">
        <f t="shared" si="29"/>
        <v>0</v>
      </c>
      <c r="H34" s="84">
        <f t="shared" si="30"/>
        <v>0</v>
      </c>
      <c r="I34" s="84">
        <f t="shared" si="32"/>
        <v>30</v>
      </c>
      <c r="J34" s="129">
        <v>25.5</v>
      </c>
      <c r="K34" s="129">
        <v>4.5</v>
      </c>
      <c r="L34" s="84">
        <f t="shared" si="11"/>
        <v>30</v>
      </c>
      <c r="M34" s="84">
        <f t="shared" si="4"/>
        <v>25.5</v>
      </c>
      <c r="N34" s="84">
        <f t="shared" si="5"/>
        <v>4.5</v>
      </c>
      <c r="O34" s="82">
        <f t="shared" si="6"/>
        <v>0</v>
      </c>
      <c r="P34" s="84"/>
      <c r="Q34" s="84"/>
      <c r="R34" s="82">
        <f t="shared" si="7"/>
        <v>0</v>
      </c>
      <c r="S34" s="84"/>
      <c r="T34" s="84"/>
      <c r="U34" s="94">
        <f>V34+W34</f>
        <v>30</v>
      </c>
      <c r="V34" s="84">
        <v>25.5</v>
      </c>
      <c r="W34" s="84">
        <v>4.5</v>
      </c>
      <c r="X34" s="94">
        <f t="shared" si="9"/>
        <v>30</v>
      </c>
      <c r="Y34" s="84">
        <f>V34</f>
        <v>25.5</v>
      </c>
      <c r="Z34" s="84">
        <f>W34</f>
        <v>4.5</v>
      </c>
      <c r="AA34" s="106">
        <f t="shared" si="28"/>
        <v>100</v>
      </c>
      <c r="AB34" s="129"/>
      <c r="AC34" s="131">
        <f t="shared" si="3"/>
        <v>0</v>
      </c>
    </row>
    <row r="35" spans="1:29" s="139" customFormat="1" ht="17.25" x14ac:dyDescent="0.25">
      <c r="A35" s="20" t="s">
        <v>17</v>
      </c>
      <c r="B35" s="137" t="s">
        <v>122</v>
      </c>
      <c r="C35" s="138">
        <f>C36+C37+C38</f>
        <v>0</v>
      </c>
      <c r="D35" s="138">
        <f t="shared" ref="D35:AB35" si="36">D36+D37+D38</f>
        <v>0</v>
      </c>
      <c r="E35" s="138">
        <f t="shared" si="36"/>
        <v>0</v>
      </c>
      <c r="F35" s="138">
        <f t="shared" si="36"/>
        <v>18.067799999999977</v>
      </c>
      <c r="G35" s="138">
        <f t="shared" si="36"/>
        <v>15.357629999999981</v>
      </c>
      <c r="H35" s="138">
        <f t="shared" si="36"/>
        <v>2.7101699999999966</v>
      </c>
      <c r="I35" s="138">
        <f t="shared" si="36"/>
        <v>330</v>
      </c>
      <c r="J35" s="138">
        <f t="shared" si="36"/>
        <v>280.5</v>
      </c>
      <c r="K35" s="138">
        <f t="shared" si="36"/>
        <v>49.5</v>
      </c>
      <c r="L35" s="138">
        <f t="shared" si="36"/>
        <v>348.06779999999998</v>
      </c>
      <c r="M35" s="138">
        <f t="shared" si="36"/>
        <v>295.85762999999997</v>
      </c>
      <c r="N35" s="138">
        <f t="shared" si="36"/>
        <v>52.210169999999998</v>
      </c>
      <c r="O35" s="138">
        <f t="shared" si="36"/>
        <v>0</v>
      </c>
      <c r="P35" s="138">
        <f t="shared" si="36"/>
        <v>0</v>
      </c>
      <c r="Q35" s="138">
        <f t="shared" si="36"/>
        <v>0</v>
      </c>
      <c r="R35" s="138">
        <f t="shared" si="36"/>
        <v>15.16</v>
      </c>
      <c r="S35" s="138">
        <f t="shared" si="36"/>
        <v>12.635</v>
      </c>
      <c r="T35" s="138">
        <f t="shared" si="36"/>
        <v>2.5249999999999999</v>
      </c>
      <c r="U35" s="138">
        <f t="shared" si="36"/>
        <v>328</v>
      </c>
      <c r="V35" s="138">
        <f t="shared" si="36"/>
        <v>278.5</v>
      </c>
      <c r="W35" s="138">
        <f t="shared" si="36"/>
        <v>49.5</v>
      </c>
      <c r="X35" s="138">
        <f t="shared" si="36"/>
        <v>343.16</v>
      </c>
      <c r="Y35" s="138">
        <f t="shared" si="36"/>
        <v>291.13499999999999</v>
      </c>
      <c r="Z35" s="138">
        <f t="shared" si="36"/>
        <v>52.024999999999999</v>
      </c>
      <c r="AA35" s="95">
        <f t="shared" si="28"/>
        <v>98.589987353038694</v>
      </c>
      <c r="AB35" s="138">
        <f t="shared" si="36"/>
        <v>316.83</v>
      </c>
      <c r="AC35" s="131">
        <f t="shared" si="3"/>
        <v>91.025369195311939</v>
      </c>
    </row>
    <row r="36" spans="1:29" s="139" customFormat="1" ht="31.5" x14ac:dyDescent="0.25">
      <c r="A36" s="9">
        <v>1</v>
      </c>
      <c r="B36" s="122" t="s">
        <v>0</v>
      </c>
      <c r="C36" s="138"/>
      <c r="D36" s="138"/>
      <c r="E36" s="85"/>
      <c r="F36" s="138">
        <v>1.2377999999999929</v>
      </c>
      <c r="G36" s="84">
        <f t="shared" si="29"/>
        <v>1.052129999999994</v>
      </c>
      <c r="H36" s="84">
        <f t="shared" si="30"/>
        <v>0.18566999999999892</v>
      </c>
      <c r="I36" s="84">
        <f t="shared" si="32"/>
        <v>300</v>
      </c>
      <c r="J36" s="90">
        <v>255</v>
      </c>
      <c r="K36" s="90">
        <v>45</v>
      </c>
      <c r="L36" s="84">
        <f t="shared" si="11"/>
        <v>301.23779999999999</v>
      </c>
      <c r="M36" s="84">
        <f t="shared" si="4"/>
        <v>256.05212999999998</v>
      </c>
      <c r="N36" s="84">
        <f t="shared" si="5"/>
        <v>45.185670000000002</v>
      </c>
      <c r="O36" s="82">
        <f t="shared" si="6"/>
        <v>0</v>
      </c>
      <c r="P36" s="85"/>
      <c r="Q36" s="85"/>
      <c r="R36" s="82">
        <f t="shared" si="7"/>
        <v>0</v>
      </c>
      <c r="S36" s="85"/>
      <c r="T36" s="85"/>
      <c r="U36" s="94">
        <f t="shared" si="8"/>
        <v>298</v>
      </c>
      <c r="V36" s="84">
        <v>253</v>
      </c>
      <c r="W36" s="84">
        <v>45</v>
      </c>
      <c r="X36" s="94">
        <f t="shared" si="9"/>
        <v>298</v>
      </c>
      <c r="Y36" s="84">
        <f t="shared" ref="Y36:Y71" si="37">V36</f>
        <v>253</v>
      </c>
      <c r="Z36" s="84">
        <f t="shared" ref="Z36:Z71" si="38">W36</f>
        <v>45</v>
      </c>
      <c r="AA36" s="106">
        <f t="shared" si="28"/>
        <v>98.925168089794852</v>
      </c>
      <c r="AB36" s="129">
        <v>300</v>
      </c>
      <c r="AC36" s="131">
        <f t="shared" si="3"/>
        <v>99.589095392410925</v>
      </c>
    </row>
    <row r="37" spans="1:29" s="139" customFormat="1" ht="49.5" x14ac:dyDescent="0.25">
      <c r="A37" s="9">
        <v>2</v>
      </c>
      <c r="B37" s="43" t="s">
        <v>142</v>
      </c>
      <c r="C37" s="129"/>
      <c r="D37" s="129"/>
      <c r="E37" s="129"/>
      <c r="F37" s="129">
        <v>16.829999999999984</v>
      </c>
      <c r="G37" s="84">
        <f t="shared" si="29"/>
        <v>14.305499999999986</v>
      </c>
      <c r="H37" s="84">
        <f t="shared" si="30"/>
        <v>2.5244999999999975</v>
      </c>
      <c r="I37" s="84"/>
      <c r="J37" s="90"/>
      <c r="K37" s="90"/>
      <c r="L37" s="84">
        <f t="shared" si="11"/>
        <v>16.829999999999984</v>
      </c>
      <c r="M37" s="84">
        <f t="shared" si="4"/>
        <v>14.305499999999986</v>
      </c>
      <c r="N37" s="84">
        <f t="shared" si="5"/>
        <v>2.5244999999999975</v>
      </c>
      <c r="O37" s="82">
        <f t="shared" si="6"/>
        <v>0</v>
      </c>
      <c r="P37" s="85"/>
      <c r="Q37" s="85"/>
      <c r="R37" s="94">
        <f>S37+T37</f>
        <v>15.16</v>
      </c>
      <c r="S37" s="84">
        <v>12.635</v>
      </c>
      <c r="T37" s="84">
        <v>2.5249999999999999</v>
      </c>
      <c r="U37" s="94">
        <f t="shared" si="8"/>
        <v>0</v>
      </c>
      <c r="V37" s="85"/>
      <c r="W37" s="85"/>
      <c r="X37" s="94">
        <f t="shared" si="9"/>
        <v>15.16</v>
      </c>
      <c r="Y37" s="84">
        <f>S37</f>
        <v>12.635</v>
      </c>
      <c r="Z37" s="84">
        <f>T37</f>
        <v>2.5249999999999999</v>
      </c>
      <c r="AA37" s="106">
        <f t="shared" si="28"/>
        <v>90.07724301841958</v>
      </c>
      <c r="AB37" s="129">
        <f>L37</f>
        <v>16.829999999999984</v>
      </c>
      <c r="AC37" s="131">
        <f t="shared" si="3"/>
        <v>100</v>
      </c>
    </row>
    <row r="38" spans="1:29" s="139" customFormat="1" ht="31.5" x14ac:dyDescent="0.25">
      <c r="A38" s="9">
        <v>3</v>
      </c>
      <c r="B38" s="122" t="s">
        <v>143</v>
      </c>
      <c r="C38" s="138"/>
      <c r="D38" s="83"/>
      <c r="E38" s="83"/>
      <c r="F38" s="83"/>
      <c r="G38" s="84">
        <f t="shared" si="29"/>
        <v>0</v>
      </c>
      <c r="H38" s="84">
        <f t="shared" si="30"/>
        <v>0</v>
      </c>
      <c r="I38" s="84">
        <f t="shared" si="32"/>
        <v>30</v>
      </c>
      <c r="J38" s="129">
        <v>25.5</v>
      </c>
      <c r="K38" s="129">
        <v>4.5</v>
      </c>
      <c r="L38" s="84">
        <f t="shared" si="11"/>
        <v>30</v>
      </c>
      <c r="M38" s="84">
        <f t="shared" si="4"/>
        <v>25.5</v>
      </c>
      <c r="N38" s="84">
        <f t="shared" si="5"/>
        <v>4.5</v>
      </c>
      <c r="O38" s="82">
        <f t="shared" si="6"/>
        <v>0</v>
      </c>
      <c r="P38" s="85"/>
      <c r="Q38" s="85"/>
      <c r="R38" s="94">
        <f t="shared" si="7"/>
        <v>0</v>
      </c>
      <c r="S38" s="85"/>
      <c r="T38" s="85"/>
      <c r="U38" s="94">
        <f t="shared" si="8"/>
        <v>30</v>
      </c>
      <c r="V38" s="129">
        <v>25.5</v>
      </c>
      <c r="W38" s="129">
        <v>4.5</v>
      </c>
      <c r="X38" s="94">
        <f t="shared" si="9"/>
        <v>30</v>
      </c>
      <c r="Y38" s="84">
        <f t="shared" si="37"/>
        <v>25.5</v>
      </c>
      <c r="Z38" s="84">
        <f t="shared" si="38"/>
        <v>4.5</v>
      </c>
      <c r="AA38" s="106">
        <f t="shared" si="28"/>
        <v>100</v>
      </c>
      <c r="AB38" s="129"/>
      <c r="AC38" s="131">
        <f t="shared" si="3"/>
        <v>0</v>
      </c>
    </row>
    <row r="39" spans="1:29" s="139" customFormat="1" ht="17.25" x14ac:dyDescent="0.25">
      <c r="A39" s="20" t="s">
        <v>133</v>
      </c>
      <c r="B39" s="137" t="s">
        <v>123</v>
      </c>
      <c r="C39" s="138">
        <f>C40+C41</f>
        <v>0</v>
      </c>
      <c r="D39" s="138">
        <f t="shared" ref="D39:AB39" si="39">D40+D41</f>
        <v>0</v>
      </c>
      <c r="E39" s="138">
        <f t="shared" si="39"/>
        <v>0</v>
      </c>
      <c r="F39" s="138">
        <f t="shared" si="39"/>
        <v>5.6000000000000227</v>
      </c>
      <c r="G39" s="138">
        <f t="shared" si="39"/>
        <v>4.7600000000000193</v>
      </c>
      <c r="H39" s="138">
        <f t="shared" si="39"/>
        <v>0.84000000000000341</v>
      </c>
      <c r="I39" s="138">
        <f t="shared" si="39"/>
        <v>930</v>
      </c>
      <c r="J39" s="138">
        <f t="shared" si="39"/>
        <v>790.5</v>
      </c>
      <c r="K39" s="138">
        <f t="shared" si="39"/>
        <v>139.5</v>
      </c>
      <c r="L39" s="138">
        <f t="shared" si="39"/>
        <v>935.6</v>
      </c>
      <c r="M39" s="138">
        <f t="shared" si="39"/>
        <v>795.26</v>
      </c>
      <c r="N39" s="138">
        <f t="shared" si="39"/>
        <v>140.34</v>
      </c>
      <c r="O39" s="138">
        <f t="shared" si="39"/>
        <v>0</v>
      </c>
      <c r="P39" s="138">
        <f t="shared" si="39"/>
        <v>0</v>
      </c>
      <c r="Q39" s="138">
        <f t="shared" si="39"/>
        <v>0</v>
      </c>
      <c r="R39" s="138">
        <f t="shared" si="39"/>
        <v>0</v>
      </c>
      <c r="S39" s="138">
        <f t="shared" si="39"/>
        <v>0</v>
      </c>
      <c r="T39" s="138">
        <f t="shared" si="39"/>
        <v>0</v>
      </c>
      <c r="U39" s="138">
        <f t="shared" si="39"/>
        <v>866.79600000000005</v>
      </c>
      <c r="V39" s="138">
        <f t="shared" si="39"/>
        <v>731.79600000000005</v>
      </c>
      <c r="W39" s="138">
        <f t="shared" si="39"/>
        <v>135</v>
      </c>
      <c r="X39" s="138">
        <f t="shared" si="39"/>
        <v>866.79600000000005</v>
      </c>
      <c r="Y39" s="138">
        <f t="shared" si="39"/>
        <v>731.79600000000005</v>
      </c>
      <c r="Z39" s="138">
        <f t="shared" si="39"/>
        <v>135</v>
      </c>
      <c r="AA39" s="95">
        <f t="shared" si="28"/>
        <v>92.646002565198799</v>
      </c>
      <c r="AB39" s="138">
        <f t="shared" si="39"/>
        <v>600</v>
      </c>
      <c r="AC39" s="131">
        <f t="shared" si="3"/>
        <v>64.129970072680635</v>
      </c>
    </row>
    <row r="40" spans="1:29" s="139" customFormat="1" ht="31.5" x14ac:dyDescent="0.25">
      <c r="A40" s="140">
        <v>1</v>
      </c>
      <c r="B40" s="122" t="s">
        <v>0</v>
      </c>
      <c r="C40" s="138"/>
      <c r="D40" s="85"/>
      <c r="E40" s="85"/>
      <c r="F40" s="84">
        <v>5.6000000000000227</v>
      </c>
      <c r="G40" s="84">
        <f t="shared" si="29"/>
        <v>4.7600000000000193</v>
      </c>
      <c r="H40" s="84">
        <f t="shared" si="30"/>
        <v>0.84000000000000341</v>
      </c>
      <c r="I40" s="84">
        <f t="shared" si="32"/>
        <v>900</v>
      </c>
      <c r="J40" s="90">
        <v>765</v>
      </c>
      <c r="K40" s="90">
        <v>135</v>
      </c>
      <c r="L40" s="84">
        <f t="shared" si="11"/>
        <v>905.6</v>
      </c>
      <c r="M40" s="84">
        <f t="shared" si="4"/>
        <v>769.76</v>
      </c>
      <c r="N40" s="84">
        <f t="shared" si="5"/>
        <v>135.84</v>
      </c>
      <c r="O40" s="82">
        <f t="shared" si="6"/>
        <v>0</v>
      </c>
      <c r="P40" s="85"/>
      <c r="Q40" s="85"/>
      <c r="R40" s="82">
        <f t="shared" si="7"/>
        <v>0</v>
      </c>
      <c r="S40" s="85"/>
      <c r="T40" s="85"/>
      <c r="U40" s="82">
        <f t="shared" si="8"/>
        <v>866.79600000000005</v>
      </c>
      <c r="V40" s="85">
        <v>731.79600000000005</v>
      </c>
      <c r="W40" s="85">
        <v>135</v>
      </c>
      <c r="X40" s="82">
        <f t="shared" si="9"/>
        <v>866.79600000000005</v>
      </c>
      <c r="Y40" s="84">
        <f t="shared" si="37"/>
        <v>731.79600000000005</v>
      </c>
      <c r="Z40" s="84">
        <f t="shared" si="38"/>
        <v>135</v>
      </c>
      <c r="AA40" s="106">
        <f t="shared" si="28"/>
        <v>95.715106007067135</v>
      </c>
      <c r="AB40" s="129">
        <v>600</v>
      </c>
      <c r="AC40" s="131">
        <f t="shared" si="3"/>
        <v>66.25441696113073</v>
      </c>
    </row>
    <row r="41" spans="1:29" s="139" customFormat="1" ht="31.5" x14ac:dyDescent="0.25">
      <c r="A41" s="140">
        <v>2</v>
      </c>
      <c r="B41" s="122" t="s">
        <v>143</v>
      </c>
      <c r="C41" s="138"/>
      <c r="D41" s="83"/>
      <c r="E41" s="83"/>
      <c r="F41" s="83"/>
      <c r="G41" s="84">
        <f t="shared" si="29"/>
        <v>0</v>
      </c>
      <c r="H41" s="84">
        <f t="shared" si="30"/>
        <v>0</v>
      </c>
      <c r="I41" s="84">
        <f t="shared" si="32"/>
        <v>30</v>
      </c>
      <c r="J41" s="129">
        <v>25.5</v>
      </c>
      <c r="K41" s="129">
        <v>4.5</v>
      </c>
      <c r="L41" s="84">
        <f t="shared" si="11"/>
        <v>30</v>
      </c>
      <c r="M41" s="84">
        <f t="shared" si="4"/>
        <v>25.5</v>
      </c>
      <c r="N41" s="84">
        <f t="shared" si="5"/>
        <v>4.5</v>
      </c>
      <c r="O41" s="82">
        <f t="shared" si="6"/>
        <v>0</v>
      </c>
      <c r="P41" s="85"/>
      <c r="Q41" s="85"/>
      <c r="R41" s="82">
        <f t="shared" si="7"/>
        <v>0</v>
      </c>
      <c r="S41" s="85"/>
      <c r="T41" s="85"/>
      <c r="U41" s="82">
        <f t="shared" si="8"/>
        <v>0</v>
      </c>
      <c r="V41" s="85"/>
      <c r="W41" s="85"/>
      <c r="X41" s="82">
        <f t="shared" si="9"/>
        <v>0</v>
      </c>
      <c r="Y41" s="84">
        <f t="shared" si="37"/>
        <v>0</v>
      </c>
      <c r="Z41" s="84">
        <f t="shared" si="38"/>
        <v>0</v>
      </c>
      <c r="AA41" s="106">
        <f t="shared" si="28"/>
        <v>0</v>
      </c>
      <c r="AB41" s="129"/>
      <c r="AC41" s="131">
        <f t="shared" si="3"/>
        <v>0</v>
      </c>
    </row>
    <row r="42" spans="1:29" s="139" customFormat="1" ht="17.25" x14ac:dyDescent="0.25">
      <c r="A42" s="20" t="s">
        <v>134</v>
      </c>
      <c r="B42" s="137" t="s">
        <v>124</v>
      </c>
      <c r="C42" s="138">
        <f>C43+C44</f>
        <v>0</v>
      </c>
      <c r="D42" s="138">
        <f t="shared" ref="D42:AB42" si="40">D43+D44</f>
        <v>0</v>
      </c>
      <c r="E42" s="138">
        <f t="shared" si="40"/>
        <v>0</v>
      </c>
      <c r="F42" s="138">
        <f t="shared" si="40"/>
        <v>3.5439999999999827</v>
      </c>
      <c r="G42" s="138">
        <f t="shared" si="40"/>
        <v>3.0123999999999853</v>
      </c>
      <c r="H42" s="138">
        <f t="shared" si="40"/>
        <v>0.53159999999999741</v>
      </c>
      <c r="I42" s="138">
        <f t="shared" si="40"/>
        <v>1209</v>
      </c>
      <c r="J42" s="138">
        <f t="shared" si="40"/>
        <v>1027.6500000000001</v>
      </c>
      <c r="K42" s="138">
        <f t="shared" si="40"/>
        <v>181.35</v>
      </c>
      <c r="L42" s="138">
        <f t="shared" si="40"/>
        <v>1212.5439999999999</v>
      </c>
      <c r="M42" s="138">
        <f t="shared" si="40"/>
        <v>1030.6623999999999</v>
      </c>
      <c r="N42" s="138">
        <f t="shared" si="40"/>
        <v>181.88159999999999</v>
      </c>
      <c r="O42" s="138">
        <f t="shared" si="40"/>
        <v>0</v>
      </c>
      <c r="P42" s="138">
        <f t="shared" si="40"/>
        <v>0</v>
      </c>
      <c r="Q42" s="138">
        <f t="shared" si="40"/>
        <v>0</v>
      </c>
      <c r="R42" s="138">
        <f t="shared" si="40"/>
        <v>0</v>
      </c>
      <c r="S42" s="138">
        <f t="shared" si="40"/>
        <v>0</v>
      </c>
      <c r="T42" s="138">
        <f t="shared" si="40"/>
        <v>0</v>
      </c>
      <c r="U42" s="138">
        <f t="shared" si="40"/>
        <v>707.06299999999999</v>
      </c>
      <c r="V42" s="138">
        <f t="shared" si="40"/>
        <v>707.06299999999999</v>
      </c>
      <c r="W42" s="138">
        <f t="shared" si="40"/>
        <v>0</v>
      </c>
      <c r="X42" s="138">
        <f t="shared" si="40"/>
        <v>707.06299999999999</v>
      </c>
      <c r="Y42" s="138">
        <f t="shared" si="40"/>
        <v>707.06299999999999</v>
      </c>
      <c r="Z42" s="138">
        <f t="shared" si="40"/>
        <v>0</v>
      </c>
      <c r="AA42" s="95">
        <f t="shared" si="28"/>
        <v>58.312358149477475</v>
      </c>
      <c r="AB42" s="138">
        <f t="shared" si="40"/>
        <v>500</v>
      </c>
      <c r="AC42" s="131">
        <f t="shared" si="3"/>
        <v>41.235617016784545</v>
      </c>
    </row>
    <row r="43" spans="1:29" s="139" customFormat="1" ht="31.5" x14ac:dyDescent="0.25">
      <c r="A43" s="140">
        <v>1</v>
      </c>
      <c r="B43" s="122" t="s">
        <v>0</v>
      </c>
      <c r="C43" s="138"/>
      <c r="D43" s="85"/>
      <c r="E43" s="85"/>
      <c r="F43" s="84">
        <v>3.5439999999999827</v>
      </c>
      <c r="G43" s="84">
        <f t="shared" si="29"/>
        <v>3.0123999999999853</v>
      </c>
      <c r="H43" s="84">
        <f t="shared" si="30"/>
        <v>0.53159999999999741</v>
      </c>
      <c r="I43" s="84">
        <f t="shared" si="32"/>
        <v>1179</v>
      </c>
      <c r="J43" s="90">
        <f>577.15+425</f>
        <v>1002.15</v>
      </c>
      <c r="K43" s="90">
        <f>101.85+75</f>
        <v>176.85</v>
      </c>
      <c r="L43" s="84">
        <f t="shared" si="11"/>
        <v>1182.5439999999999</v>
      </c>
      <c r="M43" s="84">
        <f t="shared" si="4"/>
        <v>1005.1623999999999</v>
      </c>
      <c r="N43" s="84">
        <f t="shared" si="5"/>
        <v>177.38159999999999</v>
      </c>
      <c r="O43" s="82">
        <f t="shared" si="6"/>
        <v>0</v>
      </c>
      <c r="P43" s="85"/>
      <c r="Q43" s="85"/>
      <c r="R43" s="82">
        <f t="shared" si="7"/>
        <v>0</v>
      </c>
      <c r="S43" s="85"/>
      <c r="T43" s="85"/>
      <c r="U43" s="82">
        <f t="shared" si="8"/>
        <v>707.06299999999999</v>
      </c>
      <c r="V43" s="85">
        <v>707.06299999999999</v>
      </c>
      <c r="W43" s="85"/>
      <c r="X43" s="82">
        <f t="shared" si="9"/>
        <v>707.06299999999999</v>
      </c>
      <c r="Y43" s="84">
        <f t="shared" si="37"/>
        <v>707.06299999999999</v>
      </c>
      <c r="Z43" s="84">
        <f t="shared" si="38"/>
        <v>0</v>
      </c>
      <c r="AA43" s="106">
        <f t="shared" si="28"/>
        <v>59.791686398138253</v>
      </c>
      <c r="AB43" s="129">
        <v>500</v>
      </c>
      <c r="AC43" s="131">
        <f t="shared" si="3"/>
        <v>42.281724823769771</v>
      </c>
    </row>
    <row r="44" spans="1:29" s="139" customFormat="1" ht="31.5" x14ac:dyDescent="0.25">
      <c r="A44" s="140">
        <v>2</v>
      </c>
      <c r="B44" s="122" t="s">
        <v>143</v>
      </c>
      <c r="C44" s="138"/>
      <c r="D44" s="83"/>
      <c r="E44" s="83"/>
      <c r="F44" s="83"/>
      <c r="G44" s="84">
        <f t="shared" si="29"/>
        <v>0</v>
      </c>
      <c r="H44" s="84">
        <f t="shared" si="30"/>
        <v>0</v>
      </c>
      <c r="I44" s="84">
        <f t="shared" si="32"/>
        <v>30</v>
      </c>
      <c r="J44" s="129">
        <v>25.5</v>
      </c>
      <c r="K44" s="129">
        <v>4.5</v>
      </c>
      <c r="L44" s="84">
        <f t="shared" si="11"/>
        <v>30</v>
      </c>
      <c r="M44" s="84">
        <f t="shared" si="4"/>
        <v>25.5</v>
      </c>
      <c r="N44" s="84">
        <f t="shared" si="5"/>
        <v>4.5</v>
      </c>
      <c r="O44" s="82">
        <f t="shared" si="6"/>
        <v>0</v>
      </c>
      <c r="P44" s="85"/>
      <c r="Q44" s="85"/>
      <c r="R44" s="82">
        <f t="shared" si="7"/>
        <v>0</v>
      </c>
      <c r="S44" s="85"/>
      <c r="T44" s="85"/>
      <c r="U44" s="82">
        <f t="shared" si="8"/>
        <v>0</v>
      </c>
      <c r="V44" s="85"/>
      <c r="W44" s="85"/>
      <c r="X44" s="82">
        <f t="shared" si="9"/>
        <v>0</v>
      </c>
      <c r="Y44" s="84">
        <f t="shared" si="37"/>
        <v>0</v>
      </c>
      <c r="Z44" s="84">
        <f t="shared" si="38"/>
        <v>0</v>
      </c>
      <c r="AA44" s="106">
        <f t="shared" si="28"/>
        <v>0</v>
      </c>
      <c r="AB44" s="129"/>
      <c r="AC44" s="131">
        <f t="shared" si="3"/>
        <v>0</v>
      </c>
    </row>
    <row r="45" spans="1:29" s="126" customFormat="1" x14ac:dyDescent="0.25">
      <c r="A45" s="20" t="s">
        <v>135</v>
      </c>
      <c r="B45" s="137" t="s">
        <v>125</v>
      </c>
      <c r="C45" s="134">
        <f>C46+C47</f>
        <v>0</v>
      </c>
      <c r="D45" s="134">
        <f t="shared" ref="D45:AB45" si="41">D46+D47</f>
        <v>0</v>
      </c>
      <c r="E45" s="134">
        <f t="shared" si="41"/>
        <v>0</v>
      </c>
      <c r="F45" s="134">
        <f t="shared" si="41"/>
        <v>17.111999999999966</v>
      </c>
      <c r="G45" s="134">
        <f t="shared" si="41"/>
        <v>14.545199999999971</v>
      </c>
      <c r="H45" s="134">
        <f t="shared" si="41"/>
        <v>2.5667999999999949</v>
      </c>
      <c r="I45" s="134">
        <f t="shared" si="41"/>
        <v>520</v>
      </c>
      <c r="J45" s="134">
        <f t="shared" si="41"/>
        <v>442</v>
      </c>
      <c r="K45" s="134">
        <f t="shared" si="41"/>
        <v>78</v>
      </c>
      <c r="L45" s="134">
        <f t="shared" si="41"/>
        <v>537.11199999999997</v>
      </c>
      <c r="M45" s="134">
        <f t="shared" si="41"/>
        <v>456.54519999999997</v>
      </c>
      <c r="N45" s="134">
        <f t="shared" si="41"/>
        <v>80.566800000000001</v>
      </c>
      <c r="O45" s="134">
        <f t="shared" si="41"/>
        <v>0</v>
      </c>
      <c r="P45" s="134">
        <f t="shared" si="41"/>
        <v>0</v>
      </c>
      <c r="Q45" s="134">
        <f t="shared" si="41"/>
        <v>0</v>
      </c>
      <c r="R45" s="134">
        <f t="shared" si="41"/>
        <v>0</v>
      </c>
      <c r="S45" s="134">
        <f t="shared" si="41"/>
        <v>0</v>
      </c>
      <c r="T45" s="134">
        <f t="shared" si="41"/>
        <v>0</v>
      </c>
      <c r="U45" s="134">
        <f t="shared" si="41"/>
        <v>503.83200000000005</v>
      </c>
      <c r="V45" s="134">
        <f t="shared" si="41"/>
        <v>425.83200000000005</v>
      </c>
      <c r="W45" s="134">
        <f t="shared" si="41"/>
        <v>78</v>
      </c>
      <c r="X45" s="134">
        <f t="shared" si="41"/>
        <v>503.83200000000005</v>
      </c>
      <c r="Y45" s="134">
        <f t="shared" si="41"/>
        <v>425.83200000000005</v>
      </c>
      <c r="Z45" s="134">
        <f t="shared" si="41"/>
        <v>78</v>
      </c>
      <c r="AA45" s="95">
        <f t="shared" si="28"/>
        <v>93.803899372942709</v>
      </c>
      <c r="AB45" s="134">
        <f t="shared" si="41"/>
        <v>500</v>
      </c>
      <c r="AC45" s="131">
        <f t="shared" si="3"/>
        <v>93.09045413247145</v>
      </c>
    </row>
    <row r="46" spans="1:29" s="139" customFormat="1" ht="31.5" x14ac:dyDescent="0.25">
      <c r="A46" s="140"/>
      <c r="B46" s="122" t="s">
        <v>0</v>
      </c>
      <c r="C46" s="138"/>
      <c r="D46" s="85"/>
      <c r="E46" s="85"/>
      <c r="F46" s="79">
        <v>17.111999999999966</v>
      </c>
      <c r="G46" s="84">
        <f t="shared" si="29"/>
        <v>14.545199999999971</v>
      </c>
      <c r="H46" s="84">
        <f t="shared" si="30"/>
        <v>2.5667999999999949</v>
      </c>
      <c r="I46" s="84">
        <f t="shared" si="32"/>
        <v>500</v>
      </c>
      <c r="J46" s="90">
        <v>425</v>
      </c>
      <c r="K46" s="90">
        <v>75</v>
      </c>
      <c r="L46" s="84">
        <f t="shared" si="11"/>
        <v>517.11199999999997</v>
      </c>
      <c r="M46" s="84">
        <f t="shared" si="4"/>
        <v>439.54519999999997</v>
      </c>
      <c r="N46" s="84">
        <f t="shared" si="5"/>
        <v>77.566800000000001</v>
      </c>
      <c r="O46" s="82">
        <f t="shared" si="6"/>
        <v>0</v>
      </c>
      <c r="P46" s="85"/>
      <c r="Q46" s="85"/>
      <c r="R46" s="82">
        <f t="shared" si="7"/>
        <v>0</v>
      </c>
      <c r="S46" s="85"/>
      <c r="T46" s="85"/>
      <c r="U46" s="82">
        <f t="shared" si="8"/>
        <v>483.83200000000005</v>
      </c>
      <c r="V46" s="85">
        <f>406.982+1.85</f>
        <v>408.83200000000005</v>
      </c>
      <c r="W46" s="85">
        <v>75</v>
      </c>
      <c r="X46" s="82">
        <f t="shared" si="9"/>
        <v>483.83200000000005</v>
      </c>
      <c r="Y46" s="84">
        <f t="shared" si="37"/>
        <v>408.83200000000005</v>
      </c>
      <c r="Z46" s="84">
        <f t="shared" si="38"/>
        <v>75</v>
      </c>
      <c r="AA46" s="106">
        <f t="shared" si="28"/>
        <v>93.564256872785805</v>
      </c>
      <c r="AB46" s="129">
        <v>500</v>
      </c>
      <c r="AC46" s="131">
        <f t="shared" si="3"/>
        <v>96.690852271848271</v>
      </c>
    </row>
    <row r="47" spans="1:29" s="139" customFormat="1" ht="31.5" x14ac:dyDescent="0.25">
      <c r="A47" s="140"/>
      <c r="B47" s="122" t="s">
        <v>143</v>
      </c>
      <c r="C47" s="138"/>
      <c r="D47" s="83"/>
      <c r="E47" s="83"/>
      <c r="F47" s="83"/>
      <c r="G47" s="84">
        <f t="shared" si="29"/>
        <v>0</v>
      </c>
      <c r="H47" s="84">
        <f t="shared" si="30"/>
        <v>0</v>
      </c>
      <c r="I47" s="84">
        <f t="shared" si="32"/>
        <v>20</v>
      </c>
      <c r="J47" s="129">
        <v>17</v>
      </c>
      <c r="K47" s="129">
        <v>3</v>
      </c>
      <c r="L47" s="84">
        <f t="shared" si="11"/>
        <v>20</v>
      </c>
      <c r="M47" s="84">
        <f t="shared" si="4"/>
        <v>17</v>
      </c>
      <c r="N47" s="84">
        <f t="shared" si="5"/>
        <v>3</v>
      </c>
      <c r="O47" s="82">
        <f t="shared" si="6"/>
        <v>0</v>
      </c>
      <c r="P47" s="85"/>
      <c r="Q47" s="85"/>
      <c r="R47" s="82">
        <f t="shared" si="7"/>
        <v>0</v>
      </c>
      <c r="S47" s="85"/>
      <c r="T47" s="85"/>
      <c r="U47" s="82">
        <f t="shared" si="8"/>
        <v>20</v>
      </c>
      <c r="V47" s="85">
        <v>17</v>
      </c>
      <c r="W47" s="85">
        <v>3</v>
      </c>
      <c r="X47" s="82">
        <f t="shared" si="9"/>
        <v>20</v>
      </c>
      <c r="Y47" s="84">
        <f t="shared" si="37"/>
        <v>17</v>
      </c>
      <c r="Z47" s="84">
        <f t="shared" si="38"/>
        <v>3</v>
      </c>
      <c r="AA47" s="106">
        <f t="shared" si="28"/>
        <v>100</v>
      </c>
      <c r="AB47" s="129"/>
      <c r="AC47" s="131">
        <f t="shared" si="3"/>
        <v>0</v>
      </c>
    </row>
    <row r="48" spans="1:29" s="139" customFormat="1" ht="17.25" x14ac:dyDescent="0.25">
      <c r="A48" s="20" t="s">
        <v>136</v>
      </c>
      <c r="B48" s="137" t="s">
        <v>126</v>
      </c>
      <c r="C48" s="138">
        <f>SUM(C49:C51)</f>
        <v>1.1099999999999999</v>
      </c>
      <c r="D48" s="138">
        <f t="shared" ref="D48:AB48" si="42">SUM(D49:D51)</f>
        <v>0.96499999999999997</v>
      </c>
      <c r="E48" s="138">
        <f t="shared" si="42"/>
        <v>0.14499999999999999</v>
      </c>
      <c r="F48" s="138">
        <f t="shared" si="42"/>
        <v>716.93100000000004</v>
      </c>
      <c r="G48" s="138">
        <f t="shared" si="42"/>
        <v>609.39134999999999</v>
      </c>
      <c r="H48" s="138">
        <f t="shared" si="42"/>
        <v>107.53965000000001</v>
      </c>
      <c r="I48" s="138">
        <f t="shared" si="42"/>
        <v>772.56100000000004</v>
      </c>
      <c r="J48" s="138">
        <f t="shared" si="42"/>
        <v>656.67684999999994</v>
      </c>
      <c r="K48" s="138">
        <f t="shared" si="42"/>
        <v>115.88415000000001</v>
      </c>
      <c r="L48" s="138">
        <f t="shared" si="42"/>
        <v>1490.6019999999999</v>
      </c>
      <c r="M48" s="138">
        <f t="shared" si="42"/>
        <v>1267.0331999999999</v>
      </c>
      <c r="N48" s="138">
        <f t="shared" si="42"/>
        <v>223.56880000000001</v>
      </c>
      <c r="O48" s="138">
        <f t="shared" si="42"/>
        <v>0</v>
      </c>
      <c r="P48" s="138">
        <f t="shared" si="42"/>
        <v>0</v>
      </c>
      <c r="Q48" s="138">
        <f t="shared" si="42"/>
        <v>0</v>
      </c>
      <c r="R48" s="138">
        <f t="shared" si="42"/>
        <v>0</v>
      </c>
      <c r="S48" s="138">
        <f t="shared" si="42"/>
        <v>0</v>
      </c>
      <c r="T48" s="138">
        <f t="shared" si="42"/>
        <v>0</v>
      </c>
      <c r="U48" s="138">
        <f t="shared" si="42"/>
        <v>751.67000000000007</v>
      </c>
      <c r="V48" s="138">
        <f t="shared" si="42"/>
        <v>637.67000000000007</v>
      </c>
      <c r="W48" s="138">
        <f t="shared" si="42"/>
        <v>114</v>
      </c>
      <c r="X48" s="138">
        <f t="shared" si="42"/>
        <v>751.67000000000007</v>
      </c>
      <c r="Y48" s="138">
        <f t="shared" si="42"/>
        <v>637.67000000000007</v>
      </c>
      <c r="Z48" s="138">
        <f t="shared" si="42"/>
        <v>114</v>
      </c>
      <c r="AA48" s="95">
        <f t="shared" si="28"/>
        <v>50.427277033037669</v>
      </c>
      <c r="AB48" s="138">
        <f t="shared" si="42"/>
        <v>1100</v>
      </c>
      <c r="AC48" s="131">
        <f t="shared" si="3"/>
        <v>73.795687916694064</v>
      </c>
    </row>
    <row r="49" spans="1:29" s="139" customFormat="1" ht="31.5" x14ac:dyDescent="0.25">
      <c r="A49" s="9">
        <v>1</v>
      </c>
      <c r="B49" s="122" t="s">
        <v>0</v>
      </c>
      <c r="C49" s="138"/>
      <c r="D49" s="138"/>
      <c r="E49" s="85"/>
      <c r="F49" s="141">
        <v>687.43899999999996</v>
      </c>
      <c r="G49" s="84">
        <f t="shared" si="29"/>
        <v>584.32314999999994</v>
      </c>
      <c r="H49" s="84">
        <f t="shared" si="30"/>
        <v>103.11584999999999</v>
      </c>
      <c r="I49" s="84">
        <v>12.561</v>
      </c>
      <c r="J49" s="85">
        <f>I49*85%</f>
        <v>10.67685</v>
      </c>
      <c r="K49" s="85">
        <f>I49*15%</f>
        <v>1.88415</v>
      </c>
      <c r="L49" s="84">
        <f t="shared" ref="L49:L71" si="43">M49+N49</f>
        <v>699.99999999999989</v>
      </c>
      <c r="M49" s="84">
        <f t="shared" si="4"/>
        <v>594.99999999999989</v>
      </c>
      <c r="N49" s="84">
        <f t="shared" si="5"/>
        <v>105</v>
      </c>
      <c r="O49" s="82">
        <f t="shared" si="6"/>
        <v>0</v>
      </c>
      <c r="P49" s="85"/>
      <c r="Q49" s="85"/>
      <c r="R49" s="82">
        <f t="shared" si="7"/>
        <v>0</v>
      </c>
      <c r="S49" s="85"/>
      <c r="T49" s="85"/>
      <c r="U49" s="94">
        <f t="shared" si="8"/>
        <v>0</v>
      </c>
      <c r="V49" s="85"/>
      <c r="W49" s="85"/>
      <c r="X49" s="82">
        <f t="shared" si="9"/>
        <v>0</v>
      </c>
      <c r="Y49" s="84">
        <f t="shared" si="37"/>
        <v>0</v>
      </c>
      <c r="Z49" s="84">
        <f t="shared" si="38"/>
        <v>0</v>
      </c>
      <c r="AA49" s="106">
        <f t="shared" si="28"/>
        <v>0</v>
      </c>
      <c r="AB49" s="129">
        <v>400</v>
      </c>
      <c r="AC49" s="131">
        <f t="shared" si="3"/>
        <v>57.142857142857153</v>
      </c>
    </row>
    <row r="50" spans="1:29" s="139" customFormat="1" ht="49.5" x14ac:dyDescent="0.25">
      <c r="A50" s="9">
        <v>2</v>
      </c>
      <c r="B50" s="43" t="s">
        <v>142</v>
      </c>
      <c r="C50" s="84">
        <f>D50+E50</f>
        <v>1.1099999999999999</v>
      </c>
      <c r="D50" s="84">
        <v>0.96499999999999997</v>
      </c>
      <c r="E50" s="84">
        <v>0.14499999999999999</v>
      </c>
      <c r="F50" s="129">
        <v>29.49200000000009</v>
      </c>
      <c r="G50" s="84">
        <f t="shared" si="29"/>
        <v>25.068200000000076</v>
      </c>
      <c r="H50" s="84">
        <f t="shared" si="30"/>
        <v>4.4238000000000133</v>
      </c>
      <c r="I50" s="84">
        <f t="shared" si="32"/>
        <v>740</v>
      </c>
      <c r="J50" s="90">
        <v>629</v>
      </c>
      <c r="K50" s="90">
        <v>111</v>
      </c>
      <c r="L50" s="84">
        <f t="shared" si="43"/>
        <v>770.60200000000009</v>
      </c>
      <c r="M50" s="84">
        <f t="shared" si="4"/>
        <v>655.03320000000008</v>
      </c>
      <c r="N50" s="84">
        <f t="shared" si="5"/>
        <v>115.56880000000001</v>
      </c>
      <c r="O50" s="82">
        <f t="shared" si="6"/>
        <v>0</v>
      </c>
      <c r="P50" s="85"/>
      <c r="Q50" s="85"/>
      <c r="R50" s="82">
        <f t="shared" si="7"/>
        <v>0</v>
      </c>
      <c r="S50" s="85"/>
      <c r="T50" s="85"/>
      <c r="U50" s="94">
        <f t="shared" si="8"/>
        <v>731.67000000000007</v>
      </c>
      <c r="V50" s="85">
        <f>612.08+8.59</f>
        <v>620.67000000000007</v>
      </c>
      <c r="W50" s="85">
        <v>111</v>
      </c>
      <c r="X50" s="82">
        <f t="shared" si="9"/>
        <v>731.67000000000007</v>
      </c>
      <c r="Y50" s="84">
        <f t="shared" si="37"/>
        <v>620.67000000000007</v>
      </c>
      <c r="Z50" s="84">
        <f t="shared" si="38"/>
        <v>111</v>
      </c>
      <c r="AA50" s="106">
        <f t="shared" si="28"/>
        <v>94.947845969774278</v>
      </c>
      <c r="AB50" s="129">
        <v>700</v>
      </c>
      <c r="AC50" s="131">
        <f t="shared" si="3"/>
        <v>90.838072052758747</v>
      </c>
    </row>
    <row r="51" spans="1:29" s="139" customFormat="1" ht="31.5" x14ac:dyDescent="0.25">
      <c r="A51" s="9">
        <v>3</v>
      </c>
      <c r="B51" s="122" t="s">
        <v>143</v>
      </c>
      <c r="C51" s="138"/>
      <c r="D51" s="83"/>
      <c r="E51" s="83"/>
      <c r="F51" s="83"/>
      <c r="G51" s="84">
        <f t="shared" si="29"/>
        <v>0</v>
      </c>
      <c r="H51" s="84">
        <f t="shared" si="30"/>
        <v>0</v>
      </c>
      <c r="I51" s="84">
        <f t="shared" si="32"/>
        <v>20</v>
      </c>
      <c r="J51" s="129">
        <v>17</v>
      </c>
      <c r="K51" s="129">
        <v>3</v>
      </c>
      <c r="L51" s="84">
        <f t="shared" si="43"/>
        <v>20</v>
      </c>
      <c r="M51" s="84">
        <f t="shared" si="4"/>
        <v>17</v>
      </c>
      <c r="N51" s="84">
        <f t="shared" si="5"/>
        <v>3</v>
      </c>
      <c r="O51" s="82">
        <f t="shared" si="6"/>
        <v>0</v>
      </c>
      <c r="P51" s="85"/>
      <c r="Q51" s="85"/>
      <c r="R51" s="82">
        <f t="shared" si="7"/>
        <v>0</v>
      </c>
      <c r="S51" s="85"/>
      <c r="T51" s="85"/>
      <c r="U51" s="94">
        <f t="shared" si="8"/>
        <v>20</v>
      </c>
      <c r="V51" s="85">
        <v>17</v>
      </c>
      <c r="W51" s="85">
        <v>3</v>
      </c>
      <c r="X51" s="82">
        <f t="shared" si="9"/>
        <v>20</v>
      </c>
      <c r="Y51" s="84">
        <f t="shared" si="37"/>
        <v>17</v>
      </c>
      <c r="Z51" s="84">
        <f t="shared" si="38"/>
        <v>3</v>
      </c>
      <c r="AA51" s="106">
        <f t="shared" si="28"/>
        <v>100</v>
      </c>
      <c r="AB51" s="129"/>
      <c r="AC51" s="131">
        <f t="shared" si="3"/>
        <v>0</v>
      </c>
    </row>
    <row r="52" spans="1:29" s="139" customFormat="1" ht="17.25" x14ac:dyDescent="0.25">
      <c r="A52" s="20" t="s">
        <v>137</v>
      </c>
      <c r="B52" s="137" t="s">
        <v>127</v>
      </c>
      <c r="C52" s="138">
        <f>SUM(C53:C55)</f>
        <v>0</v>
      </c>
      <c r="D52" s="138">
        <f t="shared" ref="D52:AB52" si="44">SUM(D53:D55)</f>
        <v>0</v>
      </c>
      <c r="E52" s="138">
        <f t="shared" si="44"/>
        <v>0</v>
      </c>
      <c r="F52" s="138">
        <f t="shared" si="44"/>
        <v>11.730000000000018</v>
      </c>
      <c r="G52" s="138">
        <f t="shared" si="44"/>
        <v>9.9705000000000155</v>
      </c>
      <c r="H52" s="138">
        <f t="shared" si="44"/>
        <v>1.7595000000000027</v>
      </c>
      <c r="I52" s="138">
        <f t="shared" si="44"/>
        <v>1220</v>
      </c>
      <c r="J52" s="138">
        <f t="shared" si="44"/>
        <v>1037</v>
      </c>
      <c r="K52" s="138">
        <f t="shared" si="44"/>
        <v>183</v>
      </c>
      <c r="L52" s="138">
        <f t="shared" si="44"/>
        <v>1231.73</v>
      </c>
      <c r="M52" s="138">
        <f t="shared" si="44"/>
        <v>1046.9704999999999</v>
      </c>
      <c r="N52" s="138">
        <f t="shared" si="44"/>
        <v>184.7595</v>
      </c>
      <c r="O52" s="138">
        <f t="shared" si="44"/>
        <v>0</v>
      </c>
      <c r="P52" s="138">
        <f t="shared" si="44"/>
        <v>0</v>
      </c>
      <c r="Q52" s="138">
        <f t="shared" si="44"/>
        <v>0</v>
      </c>
      <c r="R52" s="138">
        <f t="shared" si="44"/>
        <v>0</v>
      </c>
      <c r="S52" s="138">
        <f t="shared" si="44"/>
        <v>0</v>
      </c>
      <c r="T52" s="138">
        <f t="shared" si="44"/>
        <v>0</v>
      </c>
      <c r="U52" s="138">
        <f t="shared" si="44"/>
        <v>756.38599999999997</v>
      </c>
      <c r="V52" s="138">
        <f t="shared" si="44"/>
        <v>648.38599999999997</v>
      </c>
      <c r="W52" s="138">
        <f t="shared" si="44"/>
        <v>108</v>
      </c>
      <c r="X52" s="138">
        <f t="shared" si="44"/>
        <v>756.38599999999997</v>
      </c>
      <c r="Y52" s="138">
        <f t="shared" si="44"/>
        <v>648.38599999999997</v>
      </c>
      <c r="Z52" s="138">
        <f t="shared" si="44"/>
        <v>108</v>
      </c>
      <c r="AA52" s="95">
        <f t="shared" si="28"/>
        <v>61.408425547806743</v>
      </c>
      <c r="AB52" s="138">
        <f t="shared" si="44"/>
        <v>1140</v>
      </c>
      <c r="AC52" s="131">
        <f t="shared" si="3"/>
        <v>92.552751008743797</v>
      </c>
    </row>
    <row r="53" spans="1:29" s="139" customFormat="1" ht="31.5" x14ac:dyDescent="0.25">
      <c r="A53" s="9">
        <v>1</v>
      </c>
      <c r="B53" s="122" t="s">
        <v>0</v>
      </c>
      <c r="C53" s="138"/>
      <c r="D53" s="85"/>
      <c r="E53" s="85"/>
      <c r="F53" s="79">
        <v>11.730000000000018</v>
      </c>
      <c r="G53" s="84">
        <f t="shared" si="29"/>
        <v>9.9705000000000155</v>
      </c>
      <c r="H53" s="84">
        <f t="shared" si="30"/>
        <v>1.7595000000000027</v>
      </c>
      <c r="I53" s="84">
        <f>J53+K53</f>
        <v>700</v>
      </c>
      <c r="J53" s="90">
        <v>595</v>
      </c>
      <c r="K53" s="90">
        <v>105</v>
      </c>
      <c r="L53" s="84">
        <f t="shared" si="43"/>
        <v>711.73</v>
      </c>
      <c r="M53" s="84">
        <f t="shared" si="4"/>
        <v>604.97050000000002</v>
      </c>
      <c r="N53" s="84">
        <f t="shared" si="5"/>
        <v>106.7595</v>
      </c>
      <c r="O53" s="82">
        <f t="shared" si="6"/>
        <v>0</v>
      </c>
      <c r="P53" s="85"/>
      <c r="Q53" s="85"/>
      <c r="R53" s="82">
        <f t="shared" si="7"/>
        <v>0</v>
      </c>
      <c r="S53" s="85"/>
      <c r="T53" s="85"/>
      <c r="U53" s="94">
        <f t="shared" si="8"/>
        <v>736.38599999999997</v>
      </c>
      <c r="V53" s="85">
        <f>595+36.386</f>
        <v>631.38599999999997</v>
      </c>
      <c r="W53" s="85">
        <v>105</v>
      </c>
      <c r="X53" s="82">
        <f t="shared" si="9"/>
        <v>736.38599999999997</v>
      </c>
      <c r="Y53" s="84">
        <f t="shared" si="37"/>
        <v>631.38599999999997</v>
      </c>
      <c r="Z53" s="84">
        <f t="shared" si="38"/>
        <v>105</v>
      </c>
      <c r="AA53" s="106">
        <f t="shared" si="28"/>
        <v>103.46423503294788</v>
      </c>
      <c r="AB53" s="129">
        <v>690</v>
      </c>
      <c r="AC53" s="131">
        <f t="shared" si="3"/>
        <v>96.946875922049088</v>
      </c>
    </row>
    <row r="54" spans="1:29" s="139" customFormat="1" ht="49.5" x14ac:dyDescent="0.25">
      <c r="A54" s="9">
        <v>2</v>
      </c>
      <c r="B54" s="43" t="s">
        <v>142</v>
      </c>
      <c r="C54" s="138"/>
      <c r="D54" s="85"/>
      <c r="E54" s="85"/>
      <c r="F54" s="84"/>
      <c r="G54" s="84">
        <f t="shared" si="29"/>
        <v>0</v>
      </c>
      <c r="H54" s="84">
        <f t="shared" si="30"/>
        <v>0</v>
      </c>
      <c r="I54" s="84">
        <f t="shared" si="32"/>
        <v>500</v>
      </c>
      <c r="J54" s="90">
        <v>425</v>
      </c>
      <c r="K54" s="90">
        <v>75</v>
      </c>
      <c r="L54" s="84">
        <f t="shared" si="43"/>
        <v>500</v>
      </c>
      <c r="M54" s="84">
        <f t="shared" si="4"/>
        <v>425</v>
      </c>
      <c r="N54" s="84">
        <f t="shared" si="5"/>
        <v>75</v>
      </c>
      <c r="O54" s="82">
        <f t="shared" si="6"/>
        <v>0</v>
      </c>
      <c r="P54" s="85"/>
      <c r="Q54" s="85"/>
      <c r="R54" s="82">
        <f t="shared" si="7"/>
        <v>0</v>
      </c>
      <c r="S54" s="85"/>
      <c r="T54" s="85"/>
      <c r="U54" s="94">
        <f t="shared" si="8"/>
        <v>0</v>
      </c>
      <c r="V54" s="85"/>
      <c r="W54" s="85"/>
      <c r="X54" s="82">
        <f t="shared" si="9"/>
        <v>0</v>
      </c>
      <c r="Y54" s="84">
        <f t="shared" si="37"/>
        <v>0</v>
      </c>
      <c r="Z54" s="84">
        <f t="shared" si="38"/>
        <v>0</v>
      </c>
      <c r="AA54" s="106">
        <f t="shared" si="28"/>
        <v>0</v>
      </c>
      <c r="AB54" s="129">
        <v>450</v>
      </c>
      <c r="AC54" s="131">
        <f t="shared" si="3"/>
        <v>90</v>
      </c>
    </row>
    <row r="55" spans="1:29" s="126" customFormat="1" ht="31.5" x14ac:dyDescent="0.25">
      <c r="A55" s="9">
        <v>3</v>
      </c>
      <c r="B55" s="122" t="s">
        <v>143</v>
      </c>
      <c r="C55" s="134"/>
      <c r="D55" s="83"/>
      <c r="E55" s="83"/>
      <c r="F55" s="83"/>
      <c r="G55" s="84">
        <f t="shared" si="29"/>
        <v>0</v>
      </c>
      <c r="H55" s="84">
        <f t="shared" si="30"/>
        <v>0</v>
      </c>
      <c r="I55" s="84">
        <f t="shared" si="32"/>
        <v>20</v>
      </c>
      <c r="J55" s="129">
        <v>17</v>
      </c>
      <c r="K55" s="129">
        <v>3</v>
      </c>
      <c r="L55" s="84">
        <f t="shared" si="43"/>
        <v>20</v>
      </c>
      <c r="M55" s="84">
        <f t="shared" si="4"/>
        <v>17</v>
      </c>
      <c r="N55" s="84">
        <f t="shared" si="5"/>
        <v>3</v>
      </c>
      <c r="O55" s="82">
        <f t="shared" si="6"/>
        <v>0</v>
      </c>
      <c r="P55" s="83"/>
      <c r="Q55" s="83"/>
      <c r="R55" s="82">
        <f t="shared" si="7"/>
        <v>0</v>
      </c>
      <c r="S55" s="83"/>
      <c r="T55" s="83"/>
      <c r="U55" s="94">
        <f t="shared" si="8"/>
        <v>20</v>
      </c>
      <c r="V55" s="84">
        <v>17</v>
      </c>
      <c r="W55" s="84">
        <v>3</v>
      </c>
      <c r="X55" s="82">
        <f t="shared" si="9"/>
        <v>20</v>
      </c>
      <c r="Y55" s="84">
        <f t="shared" si="37"/>
        <v>17</v>
      </c>
      <c r="Z55" s="84">
        <f t="shared" si="38"/>
        <v>3</v>
      </c>
      <c r="AA55" s="106">
        <f t="shared" si="28"/>
        <v>100</v>
      </c>
      <c r="AB55" s="129"/>
      <c r="AC55" s="131">
        <f t="shared" si="3"/>
        <v>0</v>
      </c>
    </row>
    <row r="56" spans="1:29" s="126" customFormat="1" x14ac:dyDescent="0.25">
      <c r="A56" s="20" t="s">
        <v>138</v>
      </c>
      <c r="B56" s="137" t="s">
        <v>128</v>
      </c>
      <c r="C56" s="134">
        <f>SUM(C57:C59)</f>
        <v>0</v>
      </c>
      <c r="D56" s="134">
        <f t="shared" ref="D56:V56" si="45">SUM(D57:D59)</f>
        <v>0</v>
      </c>
      <c r="E56" s="134">
        <f t="shared" si="45"/>
        <v>0</v>
      </c>
      <c r="F56" s="134">
        <f t="shared" si="45"/>
        <v>13.480999999999995</v>
      </c>
      <c r="G56" s="134">
        <f t="shared" si="45"/>
        <v>11.458849999999995</v>
      </c>
      <c r="H56" s="134">
        <f t="shared" si="45"/>
        <v>2.022149999999999</v>
      </c>
      <c r="I56" s="134">
        <f t="shared" si="45"/>
        <v>1330</v>
      </c>
      <c r="J56" s="134">
        <f t="shared" si="45"/>
        <v>1130.5</v>
      </c>
      <c r="K56" s="134">
        <f t="shared" si="45"/>
        <v>199.5</v>
      </c>
      <c r="L56" s="134">
        <f t="shared" si="45"/>
        <v>1343.481</v>
      </c>
      <c r="M56" s="134">
        <f t="shared" si="45"/>
        <v>1141.95885</v>
      </c>
      <c r="N56" s="134">
        <f t="shared" si="45"/>
        <v>201.52215000000001</v>
      </c>
      <c r="O56" s="134">
        <f t="shared" si="45"/>
        <v>0</v>
      </c>
      <c r="P56" s="134">
        <f t="shared" si="45"/>
        <v>0</v>
      </c>
      <c r="Q56" s="134">
        <f t="shared" si="45"/>
        <v>0</v>
      </c>
      <c r="R56" s="134">
        <f t="shared" si="45"/>
        <v>0</v>
      </c>
      <c r="S56" s="134">
        <f t="shared" si="45"/>
        <v>0</v>
      </c>
      <c r="T56" s="134">
        <f t="shared" si="45"/>
        <v>0</v>
      </c>
      <c r="U56" s="134">
        <f t="shared" si="45"/>
        <v>1287.5320000000002</v>
      </c>
      <c r="V56" s="134">
        <f t="shared" si="45"/>
        <v>1088.0320000000002</v>
      </c>
      <c r="W56" s="134">
        <f>SUM(W57:W59)</f>
        <v>199.5</v>
      </c>
      <c r="X56" s="134">
        <f t="shared" ref="X56:AB56" si="46">SUM(X57:X59)</f>
        <v>1287.5320000000002</v>
      </c>
      <c r="Y56" s="134">
        <f t="shared" si="46"/>
        <v>1088.0320000000002</v>
      </c>
      <c r="Z56" s="134">
        <f t="shared" si="46"/>
        <v>199.5</v>
      </c>
      <c r="AA56" s="106">
        <f t="shared" si="28"/>
        <v>95.835519817548615</v>
      </c>
      <c r="AB56" s="134">
        <f t="shared" si="46"/>
        <v>1100</v>
      </c>
      <c r="AC56" s="131">
        <f t="shared" si="3"/>
        <v>81.876855720326517</v>
      </c>
    </row>
    <row r="57" spans="1:29" s="139" customFormat="1" ht="31.5" x14ac:dyDescent="0.25">
      <c r="A57" s="9">
        <v>1</v>
      </c>
      <c r="B57" s="122" t="s">
        <v>0</v>
      </c>
      <c r="C57" s="138"/>
      <c r="D57" s="138"/>
      <c r="E57" s="129"/>
      <c r="F57" s="79">
        <v>8.2409999999999854</v>
      </c>
      <c r="G57" s="84">
        <f t="shared" si="29"/>
        <v>7.0048499999999878</v>
      </c>
      <c r="H57" s="84">
        <f t="shared" si="30"/>
        <v>1.2361499999999979</v>
      </c>
      <c r="I57" s="84">
        <f t="shared" si="32"/>
        <v>800</v>
      </c>
      <c r="J57" s="90">
        <f>510+170</f>
        <v>680</v>
      </c>
      <c r="K57" s="90">
        <f>90+30</f>
        <v>120</v>
      </c>
      <c r="L57" s="84">
        <f t="shared" si="43"/>
        <v>808.24099999999999</v>
      </c>
      <c r="M57" s="84">
        <f t="shared" si="4"/>
        <v>687.00485000000003</v>
      </c>
      <c r="N57" s="84">
        <f t="shared" si="5"/>
        <v>121.23614999999999</v>
      </c>
      <c r="O57" s="82">
        <f t="shared" si="6"/>
        <v>0</v>
      </c>
      <c r="P57" s="85"/>
      <c r="Q57" s="85"/>
      <c r="R57" s="82">
        <f t="shared" si="7"/>
        <v>0</v>
      </c>
      <c r="S57" s="85"/>
      <c r="T57" s="85"/>
      <c r="U57" s="94">
        <f t="shared" si="8"/>
        <v>757.53200000000004</v>
      </c>
      <c r="V57" s="85">
        <f>596.82+9.191+31.521</f>
        <v>637.53200000000004</v>
      </c>
      <c r="W57" s="85">
        <v>120</v>
      </c>
      <c r="X57" s="82">
        <f t="shared" si="9"/>
        <v>757.53200000000004</v>
      </c>
      <c r="Y57" s="84">
        <f t="shared" si="37"/>
        <v>637.53200000000004</v>
      </c>
      <c r="Z57" s="84">
        <f t="shared" si="38"/>
        <v>120</v>
      </c>
      <c r="AA57" s="106">
        <f t="shared" si="28"/>
        <v>93.726004991085588</v>
      </c>
      <c r="AB57" s="129">
        <v>700</v>
      </c>
      <c r="AC57" s="131">
        <f t="shared" si="3"/>
        <v>86.607831080086257</v>
      </c>
    </row>
    <row r="58" spans="1:29" s="139" customFormat="1" ht="49.5" x14ac:dyDescent="0.25">
      <c r="A58" s="9">
        <v>2</v>
      </c>
      <c r="B58" s="43" t="s">
        <v>142</v>
      </c>
      <c r="C58" s="129"/>
      <c r="D58" s="129"/>
      <c r="E58" s="85"/>
      <c r="F58" s="79">
        <v>5.2400000000000091</v>
      </c>
      <c r="G58" s="84">
        <f t="shared" si="29"/>
        <v>4.4540000000000077</v>
      </c>
      <c r="H58" s="84">
        <f t="shared" si="30"/>
        <v>0.78600000000000136</v>
      </c>
      <c r="I58" s="84">
        <f t="shared" si="32"/>
        <v>500</v>
      </c>
      <c r="J58" s="90">
        <v>425</v>
      </c>
      <c r="K58" s="90">
        <v>75</v>
      </c>
      <c r="L58" s="84">
        <f t="shared" si="43"/>
        <v>505.24</v>
      </c>
      <c r="M58" s="84">
        <f t="shared" si="4"/>
        <v>429.45400000000001</v>
      </c>
      <c r="N58" s="84">
        <f t="shared" si="5"/>
        <v>75.786000000000001</v>
      </c>
      <c r="O58" s="82">
        <f t="shared" si="6"/>
        <v>0</v>
      </c>
      <c r="P58" s="85"/>
      <c r="Q58" s="85"/>
      <c r="R58" s="82">
        <f t="shared" si="7"/>
        <v>0</v>
      </c>
      <c r="S58" s="85"/>
      <c r="T58" s="85"/>
      <c r="U58" s="94">
        <f t="shared" si="8"/>
        <v>500</v>
      </c>
      <c r="V58" s="85">
        <v>425</v>
      </c>
      <c r="W58" s="85">
        <v>75</v>
      </c>
      <c r="X58" s="82">
        <f t="shared" si="9"/>
        <v>500</v>
      </c>
      <c r="Y58" s="84">
        <f t="shared" si="37"/>
        <v>425</v>
      </c>
      <c r="Z58" s="84">
        <f t="shared" si="38"/>
        <v>75</v>
      </c>
      <c r="AA58" s="106">
        <f t="shared" si="28"/>
        <v>98.962869131501861</v>
      </c>
      <c r="AB58" s="129">
        <v>400</v>
      </c>
      <c r="AC58" s="131">
        <f t="shared" si="3"/>
        <v>79.170295305201492</v>
      </c>
    </row>
    <row r="59" spans="1:29" s="139" customFormat="1" ht="31.5" x14ac:dyDescent="0.25">
      <c r="A59" s="9">
        <v>3</v>
      </c>
      <c r="B59" s="122" t="s">
        <v>143</v>
      </c>
      <c r="C59" s="138"/>
      <c r="D59" s="83"/>
      <c r="E59" s="83"/>
      <c r="F59" s="83"/>
      <c r="G59" s="84">
        <f t="shared" si="29"/>
        <v>0</v>
      </c>
      <c r="H59" s="84">
        <f t="shared" si="30"/>
        <v>0</v>
      </c>
      <c r="I59" s="84">
        <f t="shared" si="32"/>
        <v>30</v>
      </c>
      <c r="J59" s="129">
        <v>25.5</v>
      </c>
      <c r="K59" s="129">
        <v>4.5</v>
      </c>
      <c r="L59" s="84">
        <f t="shared" si="43"/>
        <v>30</v>
      </c>
      <c r="M59" s="84">
        <f t="shared" si="4"/>
        <v>25.5</v>
      </c>
      <c r="N59" s="84">
        <f t="shared" si="5"/>
        <v>4.5</v>
      </c>
      <c r="O59" s="82">
        <f t="shared" si="6"/>
        <v>0</v>
      </c>
      <c r="P59" s="85"/>
      <c r="Q59" s="85"/>
      <c r="R59" s="82">
        <f t="shared" si="7"/>
        <v>0</v>
      </c>
      <c r="S59" s="85"/>
      <c r="T59" s="85"/>
      <c r="U59" s="94">
        <f t="shared" si="8"/>
        <v>30</v>
      </c>
      <c r="V59" s="85">
        <v>25.5</v>
      </c>
      <c r="W59" s="85">
        <v>4.5</v>
      </c>
      <c r="X59" s="82">
        <f t="shared" si="9"/>
        <v>30</v>
      </c>
      <c r="Y59" s="84">
        <f t="shared" si="37"/>
        <v>25.5</v>
      </c>
      <c r="Z59" s="84">
        <f t="shared" si="38"/>
        <v>4.5</v>
      </c>
      <c r="AA59" s="106">
        <f t="shared" si="28"/>
        <v>100</v>
      </c>
      <c r="AB59" s="129"/>
      <c r="AC59" s="131">
        <f t="shared" si="3"/>
        <v>0</v>
      </c>
    </row>
    <row r="60" spans="1:29" s="139" customFormat="1" ht="17.25" x14ac:dyDescent="0.25">
      <c r="A60" s="20" t="s">
        <v>139</v>
      </c>
      <c r="B60" s="137" t="s">
        <v>129</v>
      </c>
      <c r="C60" s="138">
        <f>SUM(C61:C63)</f>
        <v>0</v>
      </c>
      <c r="D60" s="138">
        <f t="shared" ref="D60:V60" si="47">SUM(D61:D63)</f>
        <v>0</v>
      </c>
      <c r="E60" s="138">
        <f t="shared" si="47"/>
        <v>0</v>
      </c>
      <c r="F60" s="138">
        <f t="shared" si="47"/>
        <v>7.0800000000000409</v>
      </c>
      <c r="G60" s="138">
        <f t="shared" si="47"/>
        <v>6.0180000000000344</v>
      </c>
      <c r="H60" s="138">
        <f t="shared" si="47"/>
        <v>1.0620000000000061</v>
      </c>
      <c r="I60" s="138">
        <f t="shared" si="47"/>
        <v>1913.5810000000001</v>
      </c>
      <c r="J60" s="138">
        <f t="shared" si="47"/>
        <v>1627.0810000000001</v>
      </c>
      <c r="K60" s="138">
        <f t="shared" si="47"/>
        <v>286.5</v>
      </c>
      <c r="L60" s="138">
        <f t="shared" si="47"/>
        <v>1920.6610000000001</v>
      </c>
      <c r="M60" s="138">
        <f t="shared" si="47"/>
        <v>1633.0990000000002</v>
      </c>
      <c r="N60" s="138">
        <f t="shared" si="47"/>
        <v>287.56200000000001</v>
      </c>
      <c r="O60" s="138">
        <f t="shared" si="47"/>
        <v>0</v>
      </c>
      <c r="P60" s="138">
        <f t="shared" si="47"/>
        <v>0</v>
      </c>
      <c r="Q60" s="138">
        <f t="shared" si="47"/>
        <v>0</v>
      </c>
      <c r="R60" s="138">
        <f t="shared" si="47"/>
        <v>0</v>
      </c>
      <c r="S60" s="138">
        <f t="shared" si="47"/>
        <v>0</v>
      </c>
      <c r="T60" s="138">
        <f t="shared" si="47"/>
        <v>0</v>
      </c>
      <c r="U60" s="138">
        <f t="shared" si="47"/>
        <v>847.86</v>
      </c>
      <c r="V60" s="138">
        <f t="shared" si="47"/>
        <v>636.36</v>
      </c>
      <c r="W60" s="138">
        <f>SUM(W61:W63)</f>
        <v>211.5</v>
      </c>
      <c r="X60" s="138">
        <f t="shared" ref="X60:AB60" si="48">SUM(X61:X63)</f>
        <v>847.86</v>
      </c>
      <c r="Y60" s="138">
        <f t="shared" si="48"/>
        <v>636.36</v>
      </c>
      <c r="Z60" s="138">
        <f t="shared" si="48"/>
        <v>211.5</v>
      </c>
      <c r="AA60" s="95">
        <f t="shared" si="28"/>
        <v>44.144177447243422</v>
      </c>
      <c r="AB60" s="138">
        <f t="shared" si="48"/>
        <v>800</v>
      </c>
      <c r="AC60" s="131">
        <f t="shared" si="3"/>
        <v>41.652326985345148</v>
      </c>
    </row>
    <row r="61" spans="1:29" s="139" customFormat="1" ht="31.5" x14ac:dyDescent="0.25">
      <c r="A61" s="9">
        <v>1</v>
      </c>
      <c r="B61" s="122" t="s">
        <v>0</v>
      </c>
      <c r="C61" s="77"/>
      <c r="D61" s="77"/>
      <c r="E61" s="77"/>
      <c r="F61" s="77">
        <v>7.0800000000000409</v>
      </c>
      <c r="G61" s="84">
        <f t="shared" si="29"/>
        <v>6.0180000000000344</v>
      </c>
      <c r="H61" s="84">
        <f t="shared" si="30"/>
        <v>1.0620000000000061</v>
      </c>
      <c r="I61" s="84">
        <f t="shared" si="32"/>
        <v>1383.5810000000001</v>
      </c>
      <c r="J61" s="90">
        <f>255+255+666.581</f>
        <v>1176.5810000000001</v>
      </c>
      <c r="K61" s="90">
        <f>45+45+117</f>
        <v>207</v>
      </c>
      <c r="L61" s="84">
        <f t="shared" si="43"/>
        <v>1390.6610000000001</v>
      </c>
      <c r="M61" s="84">
        <f t="shared" si="4"/>
        <v>1182.5990000000002</v>
      </c>
      <c r="N61" s="84">
        <f t="shared" si="5"/>
        <v>208.06200000000001</v>
      </c>
      <c r="O61" s="82">
        <f t="shared" si="6"/>
        <v>0</v>
      </c>
      <c r="P61" s="85"/>
      <c r="Q61" s="85"/>
      <c r="R61" s="82">
        <f t="shared" si="7"/>
        <v>0</v>
      </c>
      <c r="S61" s="85"/>
      <c r="T61" s="85"/>
      <c r="U61" s="94">
        <f t="shared" si="8"/>
        <v>817.86</v>
      </c>
      <c r="V61" s="85">
        <f>552.86+58</f>
        <v>610.86</v>
      </c>
      <c r="W61" s="85">
        <v>207</v>
      </c>
      <c r="X61" s="82">
        <f t="shared" si="9"/>
        <v>817.86</v>
      </c>
      <c r="Y61" s="84">
        <f>V61</f>
        <v>610.86</v>
      </c>
      <c r="Z61" s="84">
        <f t="shared" si="38"/>
        <v>207</v>
      </c>
      <c r="AA61" s="106">
        <f t="shared" si="28"/>
        <v>58.810882019413789</v>
      </c>
      <c r="AB61" s="129">
        <v>300</v>
      </c>
      <c r="AC61" s="131">
        <f t="shared" si="3"/>
        <v>21.572475247382357</v>
      </c>
    </row>
    <row r="62" spans="1:29" s="139" customFormat="1" ht="49.5" x14ac:dyDescent="0.25">
      <c r="A62" s="9">
        <v>2</v>
      </c>
      <c r="B62" s="43" t="s">
        <v>142</v>
      </c>
      <c r="C62" s="138"/>
      <c r="D62" s="85"/>
      <c r="E62" s="85"/>
      <c r="F62" s="84"/>
      <c r="G62" s="84">
        <f t="shared" si="29"/>
        <v>0</v>
      </c>
      <c r="H62" s="84">
        <f t="shared" si="30"/>
        <v>0</v>
      </c>
      <c r="I62" s="84">
        <f t="shared" si="32"/>
        <v>500</v>
      </c>
      <c r="J62" s="90">
        <v>425</v>
      </c>
      <c r="K62" s="90">
        <v>75</v>
      </c>
      <c r="L62" s="84">
        <f t="shared" si="43"/>
        <v>500</v>
      </c>
      <c r="M62" s="84">
        <f t="shared" si="4"/>
        <v>425</v>
      </c>
      <c r="N62" s="84">
        <f t="shared" si="5"/>
        <v>75</v>
      </c>
      <c r="O62" s="82">
        <f t="shared" si="6"/>
        <v>0</v>
      </c>
      <c r="P62" s="85"/>
      <c r="Q62" s="85"/>
      <c r="R62" s="82">
        <f t="shared" si="7"/>
        <v>0</v>
      </c>
      <c r="S62" s="85"/>
      <c r="T62" s="85"/>
      <c r="U62" s="94">
        <f t="shared" si="8"/>
        <v>0</v>
      </c>
      <c r="V62" s="85"/>
      <c r="W62" s="85"/>
      <c r="X62" s="82">
        <f t="shared" si="9"/>
        <v>0</v>
      </c>
      <c r="Y62" s="84">
        <f t="shared" si="37"/>
        <v>0</v>
      </c>
      <c r="Z62" s="84">
        <f t="shared" si="38"/>
        <v>0</v>
      </c>
      <c r="AA62" s="106">
        <f t="shared" si="28"/>
        <v>0</v>
      </c>
      <c r="AB62" s="129">
        <v>500</v>
      </c>
      <c r="AC62" s="131">
        <f t="shared" si="3"/>
        <v>100</v>
      </c>
    </row>
    <row r="63" spans="1:29" s="139" customFormat="1" ht="31.5" x14ac:dyDescent="0.25">
      <c r="A63" s="9">
        <v>3</v>
      </c>
      <c r="B63" s="122" t="s">
        <v>143</v>
      </c>
      <c r="C63" s="138"/>
      <c r="D63" s="83"/>
      <c r="E63" s="83"/>
      <c r="F63" s="83"/>
      <c r="G63" s="84">
        <f t="shared" si="29"/>
        <v>0</v>
      </c>
      <c r="H63" s="84">
        <f t="shared" si="30"/>
        <v>0</v>
      </c>
      <c r="I63" s="84">
        <f t="shared" si="32"/>
        <v>30</v>
      </c>
      <c r="J63" s="129">
        <v>25.5</v>
      </c>
      <c r="K63" s="129">
        <v>4.5</v>
      </c>
      <c r="L63" s="84">
        <f t="shared" si="43"/>
        <v>30</v>
      </c>
      <c r="M63" s="84">
        <f t="shared" ref="M63:M71" si="49">D63+G63+J63</f>
        <v>25.5</v>
      </c>
      <c r="N63" s="84">
        <f t="shared" ref="N63:N71" si="50">E63+H63+K63</f>
        <v>4.5</v>
      </c>
      <c r="O63" s="82">
        <f t="shared" si="6"/>
        <v>0</v>
      </c>
      <c r="P63" s="85"/>
      <c r="Q63" s="85"/>
      <c r="R63" s="82">
        <f t="shared" si="7"/>
        <v>0</v>
      </c>
      <c r="S63" s="85"/>
      <c r="T63" s="85"/>
      <c r="U63" s="94">
        <f t="shared" si="8"/>
        <v>30</v>
      </c>
      <c r="V63" s="85">
        <v>25.5</v>
      </c>
      <c r="W63" s="85">
        <v>4.5</v>
      </c>
      <c r="X63" s="82">
        <f t="shared" si="9"/>
        <v>30</v>
      </c>
      <c r="Y63" s="84">
        <f t="shared" si="37"/>
        <v>25.5</v>
      </c>
      <c r="Z63" s="84">
        <f t="shared" si="38"/>
        <v>4.5</v>
      </c>
      <c r="AA63" s="106">
        <f t="shared" si="28"/>
        <v>100</v>
      </c>
      <c r="AB63" s="129"/>
      <c r="AC63" s="131">
        <f t="shared" si="3"/>
        <v>0</v>
      </c>
    </row>
    <row r="64" spans="1:29" s="139" customFormat="1" ht="17.25" x14ac:dyDescent="0.25">
      <c r="A64" s="20" t="s">
        <v>140</v>
      </c>
      <c r="B64" s="137" t="s">
        <v>130</v>
      </c>
      <c r="C64" s="138">
        <f>SUM(C65:C67)</f>
        <v>2.5303300000000002</v>
      </c>
      <c r="D64" s="138">
        <f t="shared" ref="D64:V64" si="51">SUM(D65:D67)</f>
        <v>2.2000000000000002</v>
      </c>
      <c r="E64" s="138">
        <f t="shared" si="51"/>
        <v>0.33033000000000001</v>
      </c>
      <c r="F64" s="138">
        <f t="shared" si="51"/>
        <v>20.955669999999991</v>
      </c>
      <c r="G64" s="138">
        <f t="shared" si="51"/>
        <v>17.812319499999994</v>
      </c>
      <c r="H64" s="138">
        <f t="shared" si="51"/>
        <v>3.1433504999999986</v>
      </c>
      <c r="I64" s="138">
        <f t="shared" si="51"/>
        <v>1530</v>
      </c>
      <c r="J64" s="138">
        <f t="shared" si="51"/>
        <v>1300.5</v>
      </c>
      <c r="K64" s="138">
        <f t="shared" si="51"/>
        <v>229.5</v>
      </c>
      <c r="L64" s="138">
        <f t="shared" si="51"/>
        <v>1553.4859999999999</v>
      </c>
      <c r="M64" s="138">
        <f t="shared" si="51"/>
        <v>1320.5123195000001</v>
      </c>
      <c r="N64" s="138">
        <f t="shared" si="51"/>
        <v>232.9736805</v>
      </c>
      <c r="O64" s="138">
        <f t="shared" si="51"/>
        <v>0</v>
      </c>
      <c r="P64" s="138">
        <f t="shared" si="51"/>
        <v>0</v>
      </c>
      <c r="Q64" s="138">
        <f t="shared" si="51"/>
        <v>0</v>
      </c>
      <c r="R64" s="138">
        <f t="shared" si="51"/>
        <v>0</v>
      </c>
      <c r="S64" s="138">
        <f t="shared" si="51"/>
        <v>0</v>
      </c>
      <c r="T64" s="138">
        <f t="shared" si="51"/>
        <v>0</v>
      </c>
      <c r="U64" s="138">
        <f t="shared" si="51"/>
        <v>1018.167</v>
      </c>
      <c r="V64" s="138">
        <f t="shared" si="51"/>
        <v>926.197</v>
      </c>
      <c r="W64" s="138">
        <f>SUM(W65:W67)</f>
        <v>91.97</v>
      </c>
      <c r="X64" s="138">
        <f t="shared" ref="X64:AB64" si="52">SUM(X65:X67)</f>
        <v>1018.167</v>
      </c>
      <c r="Y64" s="138">
        <f t="shared" si="52"/>
        <v>926.197</v>
      </c>
      <c r="Z64" s="138">
        <f t="shared" si="52"/>
        <v>91.97</v>
      </c>
      <c r="AA64" s="95">
        <f t="shared" si="28"/>
        <v>65.540790197014971</v>
      </c>
      <c r="AB64" s="138">
        <f t="shared" si="52"/>
        <v>1000</v>
      </c>
      <c r="AC64" s="131">
        <f t="shared" si="3"/>
        <v>64.371355776621101</v>
      </c>
    </row>
    <row r="65" spans="1:29" s="139" customFormat="1" ht="31.5" x14ac:dyDescent="0.25">
      <c r="A65" s="9">
        <v>1</v>
      </c>
      <c r="B65" s="122" t="s">
        <v>0</v>
      </c>
      <c r="C65" s="83">
        <f>D65+E65</f>
        <v>2.5303300000000002</v>
      </c>
      <c r="D65" s="142">
        <v>2.2000000000000002</v>
      </c>
      <c r="E65" s="142">
        <v>0.33033000000000001</v>
      </c>
      <c r="F65" s="134">
        <v>16.345669999999977</v>
      </c>
      <c r="G65" s="83">
        <f t="shared" si="29"/>
        <v>13.893819499999982</v>
      </c>
      <c r="H65" s="83">
        <f t="shared" si="30"/>
        <v>2.4518504999999964</v>
      </c>
      <c r="I65" s="84">
        <f t="shared" si="32"/>
        <v>1000</v>
      </c>
      <c r="J65" s="90">
        <f>425+425</f>
        <v>850</v>
      </c>
      <c r="K65" s="90">
        <f>75+75</f>
        <v>150</v>
      </c>
      <c r="L65" s="84">
        <f t="shared" si="43"/>
        <v>1018.876</v>
      </c>
      <c r="M65" s="84">
        <f t="shared" si="49"/>
        <v>866.0938195</v>
      </c>
      <c r="N65" s="84">
        <f t="shared" si="50"/>
        <v>152.78218050000001</v>
      </c>
      <c r="O65" s="82">
        <f t="shared" si="6"/>
        <v>0</v>
      </c>
      <c r="P65" s="85"/>
      <c r="Q65" s="85"/>
      <c r="R65" s="82">
        <f t="shared" si="7"/>
        <v>0</v>
      </c>
      <c r="S65" s="85"/>
      <c r="T65" s="85"/>
      <c r="U65" s="82">
        <f t="shared" si="8"/>
        <v>518.16700000000003</v>
      </c>
      <c r="V65" s="85">
        <v>501.197</v>
      </c>
      <c r="W65" s="85">
        <v>16.97</v>
      </c>
      <c r="X65" s="82">
        <f t="shared" si="9"/>
        <v>518.16700000000003</v>
      </c>
      <c r="Y65" s="84">
        <f t="shared" si="37"/>
        <v>501.197</v>
      </c>
      <c r="Z65" s="84">
        <f t="shared" si="38"/>
        <v>16.97</v>
      </c>
      <c r="AA65" s="106">
        <f t="shared" si="28"/>
        <v>50.856728394819392</v>
      </c>
      <c r="AB65" s="129">
        <v>1000</v>
      </c>
      <c r="AC65" s="131">
        <f t="shared" si="3"/>
        <v>98.147370239361805</v>
      </c>
    </row>
    <row r="66" spans="1:29" s="139" customFormat="1" ht="49.5" x14ac:dyDescent="0.25">
      <c r="A66" s="9">
        <v>2</v>
      </c>
      <c r="B66" s="43" t="s">
        <v>142</v>
      </c>
      <c r="C66" s="138"/>
      <c r="D66" s="85"/>
      <c r="E66" s="85"/>
      <c r="F66" s="79">
        <v>4.6100000000000136</v>
      </c>
      <c r="G66" s="84">
        <f t="shared" si="29"/>
        <v>3.9185000000000114</v>
      </c>
      <c r="H66" s="84">
        <f t="shared" si="30"/>
        <v>0.691500000000002</v>
      </c>
      <c r="I66" s="84">
        <f t="shared" si="32"/>
        <v>500</v>
      </c>
      <c r="J66" s="90">
        <v>425</v>
      </c>
      <c r="K66" s="90">
        <v>75</v>
      </c>
      <c r="L66" s="84">
        <f t="shared" si="43"/>
        <v>504.61</v>
      </c>
      <c r="M66" s="84">
        <f t="shared" si="49"/>
        <v>428.91849999999999</v>
      </c>
      <c r="N66" s="84">
        <f t="shared" si="50"/>
        <v>75.691500000000005</v>
      </c>
      <c r="O66" s="82">
        <f t="shared" si="6"/>
        <v>0</v>
      </c>
      <c r="P66" s="85"/>
      <c r="Q66" s="85"/>
      <c r="R66" s="82">
        <f t="shared" si="7"/>
        <v>0</v>
      </c>
      <c r="S66" s="85"/>
      <c r="T66" s="85"/>
      <c r="U66" s="82">
        <f t="shared" si="8"/>
        <v>500</v>
      </c>
      <c r="V66" s="85">
        <v>425</v>
      </c>
      <c r="W66" s="85">
        <v>75</v>
      </c>
      <c r="X66" s="82">
        <f t="shared" si="9"/>
        <v>500</v>
      </c>
      <c r="Y66" s="84">
        <f t="shared" si="37"/>
        <v>425</v>
      </c>
      <c r="Z66" s="84">
        <f t="shared" si="38"/>
        <v>75</v>
      </c>
      <c r="AA66" s="106">
        <f t="shared" si="28"/>
        <v>99.086423178296116</v>
      </c>
      <c r="AB66" s="129"/>
      <c r="AC66" s="131">
        <f t="shared" si="3"/>
        <v>0</v>
      </c>
    </row>
    <row r="67" spans="1:29" s="139" customFormat="1" ht="31.5" x14ac:dyDescent="0.25">
      <c r="A67" s="9">
        <v>3</v>
      </c>
      <c r="B67" s="122" t="s">
        <v>143</v>
      </c>
      <c r="C67" s="138"/>
      <c r="D67" s="83"/>
      <c r="E67" s="83"/>
      <c r="F67" s="83"/>
      <c r="G67" s="84">
        <f t="shared" si="29"/>
        <v>0</v>
      </c>
      <c r="H67" s="84">
        <f t="shared" si="30"/>
        <v>0</v>
      </c>
      <c r="I67" s="84">
        <f t="shared" si="32"/>
        <v>30</v>
      </c>
      <c r="J67" s="129">
        <v>25.5</v>
      </c>
      <c r="K67" s="129">
        <v>4.5</v>
      </c>
      <c r="L67" s="84">
        <f t="shared" si="43"/>
        <v>30</v>
      </c>
      <c r="M67" s="84">
        <f t="shared" si="49"/>
        <v>25.5</v>
      </c>
      <c r="N67" s="84">
        <f t="shared" si="50"/>
        <v>4.5</v>
      </c>
      <c r="O67" s="82">
        <f t="shared" si="6"/>
        <v>0</v>
      </c>
      <c r="P67" s="85"/>
      <c r="Q67" s="85"/>
      <c r="R67" s="82">
        <f t="shared" si="7"/>
        <v>0</v>
      </c>
      <c r="S67" s="85"/>
      <c r="T67" s="85"/>
      <c r="U67" s="82">
        <f t="shared" si="8"/>
        <v>0</v>
      </c>
      <c r="V67" s="85"/>
      <c r="W67" s="85"/>
      <c r="X67" s="82">
        <f t="shared" si="9"/>
        <v>0</v>
      </c>
      <c r="Y67" s="84">
        <f t="shared" si="37"/>
        <v>0</v>
      </c>
      <c r="Z67" s="84">
        <f t="shared" si="38"/>
        <v>0</v>
      </c>
      <c r="AA67" s="106">
        <f t="shared" si="28"/>
        <v>0</v>
      </c>
      <c r="AB67" s="129"/>
      <c r="AC67" s="131">
        <f t="shared" si="3"/>
        <v>0</v>
      </c>
    </row>
    <row r="68" spans="1:29" s="126" customFormat="1" x14ac:dyDescent="0.25">
      <c r="A68" s="20" t="s">
        <v>141</v>
      </c>
      <c r="B68" s="143" t="s">
        <v>131</v>
      </c>
      <c r="C68" s="134">
        <f>SUM(C69:C71)</f>
        <v>0</v>
      </c>
      <c r="D68" s="134">
        <f t="shared" ref="D68:V68" si="53">SUM(D69:D71)</f>
        <v>0</v>
      </c>
      <c r="E68" s="134">
        <f t="shared" si="53"/>
        <v>0</v>
      </c>
      <c r="F68" s="134">
        <f t="shared" si="53"/>
        <v>8.9440000000000737</v>
      </c>
      <c r="G68" s="134">
        <f t="shared" si="53"/>
        <v>7.6024000000000624</v>
      </c>
      <c r="H68" s="134">
        <f t="shared" si="53"/>
        <v>1.341600000000011</v>
      </c>
      <c r="I68" s="134">
        <f t="shared" si="53"/>
        <v>520</v>
      </c>
      <c r="J68" s="134">
        <f t="shared" si="53"/>
        <v>442</v>
      </c>
      <c r="K68" s="134">
        <f t="shared" si="53"/>
        <v>78</v>
      </c>
      <c r="L68" s="134">
        <f t="shared" si="53"/>
        <v>528.94400000000007</v>
      </c>
      <c r="M68" s="134">
        <f t="shared" si="53"/>
        <v>449.60240000000005</v>
      </c>
      <c r="N68" s="134">
        <f t="shared" si="53"/>
        <v>79.341600000000014</v>
      </c>
      <c r="O68" s="134">
        <f t="shared" si="53"/>
        <v>0</v>
      </c>
      <c r="P68" s="134">
        <f t="shared" si="53"/>
        <v>0</v>
      </c>
      <c r="Q68" s="134">
        <f t="shared" si="53"/>
        <v>0</v>
      </c>
      <c r="R68" s="134">
        <f t="shared" si="53"/>
        <v>0</v>
      </c>
      <c r="S68" s="134">
        <f t="shared" si="53"/>
        <v>0</v>
      </c>
      <c r="T68" s="134">
        <f t="shared" si="53"/>
        <v>0</v>
      </c>
      <c r="U68" s="134">
        <f t="shared" si="53"/>
        <v>484.15499999999997</v>
      </c>
      <c r="V68" s="134">
        <f t="shared" si="53"/>
        <v>409.15499999999997</v>
      </c>
      <c r="W68" s="134">
        <f>SUM(W69:W71)</f>
        <v>75</v>
      </c>
      <c r="X68" s="134">
        <f t="shared" ref="X68:AB68" si="54">SUM(X69:X71)</f>
        <v>484.15499999999997</v>
      </c>
      <c r="Y68" s="134">
        <f t="shared" si="54"/>
        <v>409.15499999999997</v>
      </c>
      <c r="Z68" s="134">
        <f t="shared" si="54"/>
        <v>75</v>
      </c>
      <c r="AA68" s="95">
        <f t="shared" si="28"/>
        <v>91.532373937505653</v>
      </c>
      <c r="AB68" s="134">
        <f t="shared" si="54"/>
        <v>500</v>
      </c>
      <c r="AC68" s="131">
        <f t="shared" si="3"/>
        <v>94.527965153210914</v>
      </c>
    </row>
    <row r="69" spans="1:29" s="139" customFormat="1" ht="31.5" x14ac:dyDescent="0.25">
      <c r="A69" s="144">
        <v>1</v>
      </c>
      <c r="B69" s="122" t="s">
        <v>0</v>
      </c>
      <c r="C69" s="138"/>
      <c r="D69" s="87"/>
      <c r="E69" s="87"/>
      <c r="F69" s="87">
        <v>2.3500000000000227</v>
      </c>
      <c r="G69" s="84">
        <f t="shared" si="29"/>
        <v>1.9975000000000194</v>
      </c>
      <c r="H69" s="84">
        <f t="shared" si="30"/>
        <v>0.35250000000000342</v>
      </c>
      <c r="I69" s="84">
        <f t="shared" ref="I69:I71" si="55">J69+K69</f>
        <v>500</v>
      </c>
      <c r="J69" s="90">
        <v>425</v>
      </c>
      <c r="K69" s="90">
        <v>75</v>
      </c>
      <c r="L69" s="84">
        <f t="shared" si="43"/>
        <v>502.35</v>
      </c>
      <c r="M69" s="84">
        <f t="shared" si="49"/>
        <v>426.9975</v>
      </c>
      <c r="N69" s="84">
        <f t="shared" si="50"/>
        <v>75.352500000000006</v>
      </c>
      <c r="O69" s="82">
        <f t="shared" si="6"/>
        <v>0</v>
      </c>
      <c r="P69" s="86"/>
      <c r="Q69" s="86"/>
      <c r="R69" s="82">
        <f t="shared" si="7"/>
        <v>0</v>
      </c>
      <c r="S69" s="86"/>
      <c r="T69" s="86"/>
      <c r="U69" s="82">
        <f t="shared" si="8"/>
        <v>484.15499999999997</v>
      </c>
      <c r="V69" s="86">
        <v>409.15499999999997</v>
      </c>
      <c r="W69" s="86">
        <v>75</v>
      </c>
      <c r="X69" s="82">
        <f t="shared" si="9"/>
        <v>484.15499999999997</v>
      </c>
      <c r="Y69" s="84">
        <f t="shared" si="37"/>
        <v>409.15499999999997</v>
      </c>
      <c r="Z69" s="84">
        <f t="shared" si="38"/>
        <v>75</v>
      </c>
      <c r="AA69" s="106">
        <f t="shared" si="28"/>
        <v>96.378023290534472</v>
      </c>
      <c r="AB69" s="129">
        <v>500</v>
      </c>
      <c r="AC69" s="131">
        <f t="shared" si="3"/>
        <v>99.532198666268528</v>
      </c>
    </row>
    <row r="70" spans="1:29" s="139" customFormat="1" ht="49.5" x14ac:dyDescent="0.25">
      <c r="A70" s="144">
        <v>2</v>
      </c>
      <c r="B70" s="43" t="s">
        <v>142</v>
      </c>
      <c r="C70" s="138"/>
      <c r="D70" s="87"/>
      <c r="E70" s="87"/>
      <c r="F70" s="87">
        <v>6.5940000000000509</v>
      </c>
      <c r="G70" s="84">
        <f t="shared" si="29"/>
        <v>5.6049000000000433</v>
      </c>
      <c r="H70" s="84">
        <f t="shared" si="30"/>
        <v>0.98910000000000764</v>
      </c>
      <c r="I70" s="84"/>
      <c r="J70" s="90"/>
      <c r="K70" s="90"/>
      <c r="L70" s="84">
        <f t="shared" si="43"/>
        <v>6.5940000000000509</v>
      </c>
      <c r="M70" s="84">
        <f t="shared" si="49"/>
        <v>5.6049000000000433</v>
      </c>
      <c r="N70" s="84">
        <f t="shared" si="50"/>
        <v>0.98910000000000764</v>
      </c>
      <c r="O70" s="82">
        <f t="shared" si="6"/>
        <v>0</v>
      </c>
      <c r="P70" s="86"/>
      <c r="Q70" s="86"/>
      <c r="R70" s="82">
        <f t="shared" si="7"/>
        <v>0</v>
      </c>
      <c r="S70" s="86"/>
      <c r="T70" s="86"/>
      <c r="U70" s="82">
        <f t="shared" si="8"/>
        <v>0</v>
      </c>
      <c r="V70" s="86"/>
      <c r="W70" s="86"/>
      <c r="X70" s="82">
        <f t="shared" si="9"/>
        <v>0</v>
      </c>
      <c r="Y70" s="84">
        <f t="shared" si="37"/>
        <v>0</v>
      </c>
      <c r="Z70" s="84">
        <f t="shared" si="38"/>
        <v>0</v>
      </c>
      <c r="AA70" s="106">
        <f t="shared" si="28"/>
        <v>0</v>
      </c>
      <c r="AB70" s="129"/>
      <c r="AC70" s="131">
        <f t="shared" ref="AC70" si="56">AB70/L70*100</f>
        <v>0</v>
      </c>
    </row>
    <row r="71" spans="1:29" s="139" customFormat="1" ht="31.5" x14ac:dyDescent="0.25">
      <c r="A71" s="144">
        <v>3</v>
      </c>
      <c r="B71" s="122" t="s">
        <v>143</v>
      </c>
      <c r="C71" s="138"/>
      <c r="D71" s="83"/>
      <c r="E71" s="83"/>
      <c r="F71" s="83"/>
      <c r="G71" s="84">
        <f t="shared" si="29"/>
        <v>0</v>
      </c>
      <c r="H71" s="84">
        <f t="shared" si="30"/>
        <v>0</v>
      </c>
      <c r="I71" s="84">
        <f t="shared" si="55"/>
        <v>20</v>
      </c>
      <c r="J71" s="129">
        <v>17</v>
      </c>
      <c r="K71" s="129">
        <v>3</v>
      </c>
      <c r="L71" s="84">
        <f t="shared" si="43"/>
        <v>20</v>
      </c>
      <c r="M71" s="84">
        <f t="shared" si="49"/>
        <v>17</v>
      </c>
      <c r="N71" s="84">
        <f t="shared" si="50"/>
        <v>3</v>
      </c>
      <c r="O71" s="82">
        <f t="shared" ref="O71" si="57">P71+Q71</f>
        <v>0</v>
      </c>
      <c r="P71" s="86"/>
      <c r="Q71" s="86"/>
      <c r="R71" s="82">
        <f t="shared" ref="R71" si="58">S71+T71</f>
        <v>0</v>
      </c>
      <c r="S71" s="86"/>
      <c r="T71" s="86"/>
      <c r="U71" s="82">
        <f t="shared" ref="U71" si="59">V71+W71</f>
        <v>0</v>
      </c>
      <c r="V71" s="86"/>
      <c r="W71" s="86"/>
      <c r="X71" s="82">
        <f t="shared" ref="X71" si="60">Y71+Z71</f>
        <v>0</v>
      </c>
      <c r="Y71" s="84">
        <f t="shared" si="37"/>
        <v>0</v>
      </c>
      <c r="Z71" s="84">
        <f t="shared" si="38"/>
        <v>0</v>
      </c>
      <c r="AA71" s="106">
        <f t="shared" si="28"/>
        <v>0</v>
      </c>
      <c r="AB71" s="129"/>
      <c r="AC71" s="131">
        <f t="shared" ref="AC71" si="61">AB71/L71*100</f>
        <v>0</v>
      </c>
    </row>
    <row r="72" spans="1:29" ht="21" customHeight="1" x14ac:dyDescent="0.25">
      <c r="A72" s="145"/>
      <c r="B72" s="146"/>
      <c r="C72" s="97">
        <f>C7+F7</f>
        <v>533.63735999999994</v>
      </c>
      <c r="D72" s="97"/>
      <c r="E72" s="97"/>
      <c r="F72" s="97"/>
      <c r="G72" s="97"/>
      <c r="H72" s="97"/>
      <c r="I72" s="97">
        <f>I69+I65+I61+I57+I53+I46+I43+I40+I36+I29+I26+I23+I20</f>
        <v>11183.661</v>
      </c>
      <c r="J72" s="97">
        <f t="shared" ref="J72:K72" si="62">J69+J65+J61+J57+J53+J46+J43+J40+J36+J29+J26+J23+J20</f>
        <v>9506.8109999999997</v>
      </c>
      <c r="K72" s="97">
        <f t="shared" si="62"/>
        <v>1676.85</v>
      </c>
      <c r="L72" s="97"/>
      <c r="M72" s="97"/>
      <c r="N72" s="97"/>
      <c r="O72" s="98"/>
      <c r="P72" s="98"/>
      <c r="Q72" s="98"/>
      <c r="R72" s="98"/>
    </row>
    <row r="73" spans="1:29" x14ac:dyDescent="0.25">
      <c r="C73" s="100"/>
      <c r="D73" s="100"/>
      <c r="E73" s="100"/>
      <c r="F73" s="100"/>
      <c r="G73" s="100"/>
      <c r="H73" s="100"/>
      <c r="I73" s="100"/>
      <c r="J73" s="100"/>
      <c r="K73" s="100"/>
      <c r="M73" s="98"/>
      <c r="N73" s="98"/>
      <c r="O73" s="98">
        <f>C6+F6</f>
        <v>2861.2202299999999</v>
      </c>
      <c r="P73" s="98"/>
      <c r="Q73" s="98"/>
      <c r="R73" s="98"/>
      <c r="AB73" s="147">
        <f>AB69+AB65+AB61+AB57+AB53+AB49+AB46+AB43+AB40+AB29+AB26+AB23+AB20+AB36</f>
        <v>8340</v>
      </c>
    </row>
    <row r="74" spans="1:29" x14ac:dyDescent="0.25">
      <c r="I74" s="98"/>
      <c r="J74" s="98"/>
      <c r="K74" s="98"/>
      <c r="L74" s="98"/>
      <c r="M74" s="98"/>
      <c r="N74" s="98"/>
      <c r="O74" s="98">
        <f>O73+'PL 3 NTM'!H36</f>
        <v>5351.3282300000001</v>
      </c>
      <c r="P74" s="98"/>
      <c r="Q74" s="98"/>
      <c r="R74" s="98"/>
      <c r="U74" s="99">
        <f>U65+U36</f>
        <v>816.16700000000003</v>
      </c>
      <c r="V74" s="99">
        <f t="shared" ref="V74:W74" si="63">V65+V36</f>
        <v>754.197</v>
      </c>
      <c r="W74" s="99">
        <f t="shared" si="63"/>
        <v>61.97</v>
      </c>
      <c r="AB74" s="147">
        <f>AB62+AB54+AB50+AB37+AB33</f>
        <v>2066.83</v>
      </c>
    </row>
    <row r="75" spans="1:29" x14ac:dyDescent="0.25">
      <c r="I75" s="98"/>
      <c r="J75" s="98"/>
      <c r="K75" s="98"/>
      <c r="L75" s="98"/>
      <c r="M75" s="98"/>
      <c r="N75" s="98"/>
      <c r="O75" s="98"/>
      <c r="P75" s="98"/>
      <c r="Q75" s="98"/>
      <c r="R75" s="98"/>
    </row>
    <row r="76" spans="1:29" x14ac:dyDescent="0.25">
      <c r="I76" s="98"/>
      <c r="J76" s="98"/>
      <c r="K76" s="98"/>
      <c r="L76" s="98"/>
      <c r="M76" s="98"/>
      <c r="N76" s="98"/>
      <c r="O76" s="98"/>
      <c r="P76" s="98"/>
      <c r="Q76" s="98"/>
      <c r="R76" s="98"/>
    </row>
  </sheetData>
  <mergeCells count="16">
    <mergeCell ref="I4:K4"/>
    <mergeCell ref="U4:W4"/>
    <mergeCell ref="Y3:AC3"/>
    <mergeCell ref="A1:AA1"/>
    <mergeCell ref="A2:AA2"/>
    <mergeCell ref="A4:A5"/>
    <mergeCell ref="B4:B5"/>
    <mergeCell ref="C4:E4"/>
    <mergeCell ref="O4:Q4"/>
    <mergeCell ref="F4:H4"/>
    <mergeCell ref="R4:T4"/>
    <mergeCell ref="L4:N4"/>
    <mergeCell ref="X4:Z4"/>
    <mergeCell ref="AA4:AA5"/>
    <mergeCell ref="AB4:AB5"/>
    <mergeCell ref="AC4:AC5"/>
  </mergeCells>
  <phoneticPr fontId="5" type="noConversion"/>
  <printOptions horizontalCentered="1"/>
  <pageMargins left="0.17" right="0.261811024" top="0.61" bottom="0.31496062992126" header="0.23622047244094499" footer="0.23622047244094499"/>
  <pageSetup paperSize="9" scale="40" orientation="landscape" r:id="rId1"/>
  <headerFooter differentFirst="1">
    <oddHeader xml:space="preserve">&amp;C&amp;P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S44"/>
  <sheetViews>
    <sheetView zoomScale="95" zoomScaleNormal="95" workbookViewId="0">
      <selection sqref="A1:AQ1"/>
    </sheetView>
  </sheetViews>
  <sheetFormatPr defaultColWidth="9.140625" defaultRowHeight="15.75" x14ac:dyDescent="0.25"/>
  <cols>
    <col min="1" max="1" width="5.7109375" style="21" customWidth="1"/>
    <col min="2" max="2" width="41.28515625" style="22" customWidth="1"/>
    <col min="3" max="3" width="0.140625" style="25" hidden="1" customWidth="1"/>
    <col min="4" max="4" width="9.85546875" style="25" hidden="1" customWidth="1"/>
    <col min="5" max="5" width="10.28515625" style="25" hidden="1" customWidth="1"/>
    <col min="6" max="6" width="10.7109375" style="25" hidden="1" customWidth="1"/>
    <col min="7" max="7" width="8.85546875" style="25" hidden="1" customWidth="1"/>
    <col min="8" max="8" width="11.28515625" style="25" hidden="1" customWidth="1"/>
    <col min="9" max="9" width="9.28515625" style="25" hidden="1" customWidth="1"/>
    <col min="10" max="10" width="10.85546875" style="25" hidden="1" customWidth="1"/>
    <col min="11" max="11" width="10.5703125" style="25" hidden="1" customWidth="1"/>
    <col min="12" max="12" width="9.42578125" style="25" hidden="1" customWidth="1"/>
    <col min="13" max="13" width="9.7109375" style="25" hidden="1" customWidth="1"/>
    <col min="14" max="14" width="11.140625" style="25" hidden="1" customWidth="1"/>
    <col min="15" max="15" width="10" style="25" hidden="1" customWidth="1"/>
    <col min="16" max="16" width="11.7109375" style="25" hidden="1" customWidth="1"/>
    <col min="17" max="17" width="11.85546875" style="25" hidden="1" customWidth="1"/>
    <col min="18" max="18" width="10.28515625" style="25" customWidth="1"/>
    <col min="19" max="19" width="13.28515625" style="25" customWidth="1"/>
    <col min="20" max="20" width="10.7109375" style="25" customWidth="1"/>
    <col min="21" max="21" width="11" style="25" bestFit="1" customWidth="1"/>
    <col min="22" max="22" width="11" style="25" customWidth="1"/>
    <col min="23" max="23" width="9.7109375" style="25" customWidth="1"/>
    <col min="24" max="24" width="9" style="25" customWidth="1"/>
    <col min="25" max="25" width="10.140625" style="25" customWidth="1"/>
    <col min="26" max="26" width="9.85546875" style="25" customWidth="1"/>
    <col min="27" max="27" width="8.42578125" style="25" customWidth="1"/>
    <col min="28" max="28" width="9.5703125" style="25" customWidth="1"/>
    <col min="29" max="29" width="8.85546875" style="25" customWidth="1"/>
    <col min="30" max="30" width="7.85546875" style="25" customWidth="1"/>
    <col min="31" max="32" width="8.7109375" style="25" customWidth="1"/>
    <col min="33" max="33" width="9.7109375" style="25" customWidth="1"/>
    <col min="34" max="34" width="10" style="25" customWidth="1"/>
    <col min="35" max="35" width="7.140625" style="25" customWidth="1"/>
    <col min="36" max="36" width="8.5703125" style="25" customWidth="1"/>
    <col min="37" max="37" width="9.42578125" style="25" customWidth="1"/>
    <col min="38" max="38" width="11.140625" style="25" customWidth="1"/>
    <col min="39" max="39" width="13" style="25" customWidth="1"/>
    <col min="40" max="40" width="10.5703125" style="25" customWidth="1"/>
    <col min="41" max="41" width="9.7109375" style="25" customWidth="1"/>
    <col min="42" max="42" width="10.140625" style="25" customWidth="1"/>
    <col min="43" max="43" width="9.7109375" style="25" customWidth="1"/>
    <col min="44" max="44" width="8.85546875" style="24" hidden="1" customWidth="1"/>
    <col min="45" max="45" width="8.5703125" style="24" hidden="1" customWidth="1"/>
    <col min="46" max="16384" width="9.140625" style="24"/>
  </cols>
  <sheetData>
    <row r="1" spans="1:45" ht="18.75" x14ac:dyDescent="0.25">
      <c r="A1" s="186" t="s">
        <v>105</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row>
    <row r="2" spans="1:45" ht="18.75" x14ac:dyDescent="0.25">
      <c r="A2" s="187" t="s">
        <v>50</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row>
    <row r="3" spans="1:45" s="26" customFormat="1" ht="24.75" customHeight="1" x14ac:dyDescent="0.25">
      <c r="A3" s="174" t="str">
        <f>'PL 2 GNBV'!A2:AA2</f>
        <v>(Đinh kèm Báo cáo số:        /BC-UBND ngày      /12/2024 của UBND huyện Phụng Hiệp)</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row>
    <row r="4" spans="1:45" ht="23.25" customHeight="1" x14ac:dyDescent="0.25">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72" t="s">
        <v>177</v>
      </c>
      <c r="AQ4" s="172"/>
      <c r="AR4" s="172"/>
      <c r="AS4" s="172"/>
    </row>
    <row r="5" spans="1:45" s="27" customFormat="1" ht="34.5" customHeight="1" x14ac:dyDescent="0.25">
      <c r="A5" s="161" t="s">
        <v>6</v>
      </c>
      <c r="B5" s="161" t="s">
        <v>47</v>
      </c>
      <c r="C5" s="183" t="s">
        <v>79</v>
      </c>
      <c r="D5" s="184"/>
      <c r="E5" s="184"/>
      <c r="F5" s="184"/>
      <c r="G5" s="185"/>
      <c r="H5" s="183" t="s">
        <v>73</v>
      </c>
      <c r="I5" s="184"/>
      <c r="J5" s="184"/>
      <c r="K5" s="184"/>
      <c r="L5" s="185"/>
      <c r="M5" s="183" t="s">
        <v>75</v>
      </c>
      <c r="N5" s="184"/>
      <c r="O5" s="184"/>
      <c r="P5" s="184"/>
      <c r="Q5" s="185"/>
      <c r="R5" s="183" t="s">
        <v>144</v>
      </c>
      <c r="S5" s="184"/>
      <c r="T5" s="184"/>
      <c r="U5" s="184"/>
      <c r="V5" s="185"/>
      <c r="W5" s="183" t="s">
        <v>80</v>
      </c>
      <c r="X5" s="184"/>
      <c r="Y5" s="184"/>
      <c r="Z5" s="184"/>
      <c r="AA5" s="185"/>
      <c r="AB5" s="183" t="s">
        <v>74</v>
      </c>
      <c r="AC5" s="184"/>
      <c r="AD5" s="184"/>
      <c r="AE5" s="184"/>
      <c r="AF5" s="185"/>
      <c r="AG5" s="183" t="s">
        <v>76</v>
      </c>
      <c r="AH5" s="184"/>
      <c r="AI5" s="184"/>
      <c r="AJ5" s="184"/>
      <c r="AK5" s="185"/>
      <c r="AL5" s="183" t="s">
        <v>168</v>
      </c>
      <c r="AM5" s="184"/>
      <c r="AN5" s="184"/>
      <c r="AO5" s="184"/>
      <c r="AP5" s="185"/>
      <c r="AQ5" s="188" t="s">
        <v>164</v>
      </c>
      <c r="AR5" s="177" t="s">
        <v>173</v>
      </c>
      <c r="AS5" s="178" t="s">
        <v>174</v>
      </c>
    </row>
    <row r="6" spans="1:45" s="27" customFormat="1" ht="15.75" customHeight="1" x14ac:dyDescent="0.25">
      <c r="A6" s="161"/>
      <c r="B6" s="161"/>
      <c r="C6" s="179" t="s">
        <v>64</v>
      </c>
      <c r="D6" s="179" t="s">
        <v>52</v>
      </c>
      <c r="E6" s="179" t="s">
        <v>46</v>
      </c>
      <c r="F6" s="181" t="s">
        <v>9</v>
      </c>
      <c r="G6" s="182"/>
      <c r="H6" s="179" t="s">
        <v>64</v>
      </c>
      <c r="I6" s="179" t="s">
        <v>52</v>
      </c>
      <c r="J6" s="179" t="s">
        <v>46</v>
      </c>
      <c r="K6" s="181" t="s">
        <v>9</v>
      </c>
      <c r="L6" s="182"/>
      <c r="M6" s="179" t="s">
        <v>64</v>
      </c>
      <c r="N6" s="179" t="s">
        <v>52</v>
      </c>
      <c r="O6" s="179" t="s">
        <v>46</v>
      </c>
      <c r="P6" s="181" t="s">
        <v>9</v>
      </c>
      <c r="Q6" s="182"/>
      <c r="R6" s="179" t="s">
        <v>64</v>
      </c>
      <c r="S6" s="179" t="s">
        <v>52</v>
      </c>
      <c r="T6" s="179" t="s">
        <v>46</v>
      </c>
      <c r="U6" s="181" t="s">
        <v>9</v>
      </c>
      <c r="V6" s="182"/>
      <c r="W6" s="179" t="s">
        <v>64</v>
      </c>
      <c r="X6" s="179" t="s">
        <v>52</v>
      </c>
      <c r="Y6" s="179" t="s">
        <v>46</v>
      </c>
      <c r="Z6" s="181" t="s">
        <v>9</v>
      </c>
      <c r="AA6" s="182"/>
      <c r="AB6" s="179" t="s">
        <v>64</v>
      </c>
      <c r="AC6" s="179" t="s">
        <v>52</v>
      </c>
      <c r="AD6" s="179" t="s">
        <v>46</v>
      </c>
      <c r="AE6" s="181" t="s">
        <v>9</v>
      </c>
      <c r="AF6" s="182"/>
      <c r="AG6" s="179" t="s">
        <v>64</v>
      </c>
      <c r="AH6" s="179" t="s">
        <v>52</v>
      </c>
      <c r="AI6" s="179" t="s">
        <v>46</v>
      </c>
      <c r="AJ6" s="181" t="s">
        <v>9</v>
      </c>
      <c r="AK6" s="182"/>
      <c r="AL6" s="179" t="s">
        <v>64</v>
      </c>
      <c r="AM6" s="179" t="s">
        <v>52</v>
      </c>
      <c r="AN6" s="179" t="s">
        <v>46</v>
      </c>
      <c r="AO6" s="181" t="s">
        <v>9</v>
      </c>
      <c r="AP6" s="182"/>
      <c r="AQ6" s="189"/>
      <c r="AR6" s="177"/>
      <c r="AS6" s="178"/>
    </row>
    <row r="7" spans="1:45" s="27" customFormat="1" ht="86.25" customHeight="1" x14ac:dyDescent="0.25">
      <c r="A7" s="161"/>
      <c r="B7" s="161"/>
      <c r="C7" s="180"/>
      <c r="D7" s="180"/>
      <c r="E7" s="180"/>
      <c r="F7" s="38" t="s">
        <v>72</v>
      </c>
      <c r="G7" s="38" t="s">
        <v>51</v>
      </c>
      <c r="H7" s="180"/>
      <c r="I7" s="180"/>
      <c r="J7" s="180"/>
      <c r="K7" s="38" t="s">
        <v>72</v>
      </c>
      <c r="L7" s="38" t="s">
        <v>51</v>
      </c>
      <c r="M7" s="180"/>
      <c r="N7" s="180"/>
      <c r="O7" s="180"/>
      <c r="P7" s="38" t="s">
        <v>72</v>
      </c>
      <c r="Q7" s="38" t="s">
        <v>51</v>
      </c>
      <c r="R7" s="180"/>
      <c r="S7" s="180"/>
      <c r="T7" s="180"/>
      <c r="U7" s="38" t="s">
        <v>72</v>
      </c>
      <c r="V7" s="38" t="s">
        <v>51</v>
      </c>
      <c r="W7" s="180"/>
      <c r="X7" s="180"/>
      <c r="Y7" s="180"/>
      <c r="Z7" s="38" t="s">
        <v>72</v>
      </c>
      <c r="AA7" s="38" t="s">
        <v>51</v>
      </c>
      <c r="AB7" s="180"/>
      <c r="AC7" s="180"/>
      <c r="AD7" s="180"/>
      <c r="AE7" s="38" t="s">
        <v>72</v>
      </c>
      <c r="AF7" s="38" t="s">
        <v>51</v>
      </c>
      <c r="AG7" s="180"/>
      <c r="AH7" s="180"/>
      <c r="AI7" s="180"/>
      <c r="AJ7" s="38" t="s">
        <v>72</v>
      </c>
      <c r="AK7" s="38" t="s">
        <v>51</v>
      </c>
      <c r="AL7" s="180"/>
      <c r="AM7" s="180"/>
      <c r="AN7" s="180"/>
      <c r="AO7" s="38" t="s">
        <v>72</v>
      </c>
      <c r="AP7" s="38" t="s">
        <v>51</v>
      </c>
      <c r="AQ7" s="190"/>
      <c r="AR7" s="177"/>
      <c r="AS7" s="178"/>
    </row>
    <row r="8" spans="1:45" s="151" customFormat="1" x14ac:dyDescent="0.25">
      <c r="A8" s="148"/>
      <c r="B8" s="149" t="s">
        <v>18</v>
      </c>
      <c r="C8" s="101">
        <f>C9</f>
        <v>408.69100000000003</v>
      </c>
      <c r="D8" s="101">
        <f t="shared" ref="D8:AP8" si="0">D9</f>
        <v>173.88400000000001</v>
      </c>
      <c r="E8" s="101">
        <f t="shared" si="0"/>
        <v>234.80700000000002</v>
      </c>
      <c r="F8" s="101">
        <f t="shared" si="0"/>
        <v>156.53800000000001</v>
      </c>
      <c r="G8" s="101">
        <f t="shared" si="0"/>
        <v>78.269000000000005</v>
      </c>
      <c r="H8" s="101">
        <f t="shared" si="0"/>
        <v>2081.4169999999999</v>
      </c>
      <c r="I8" s="101">
        <f t="shared" si="0"/>
        <v>859.80539999999996</v>
      </c>
      <c r="J8" s="101">
        <f t="shared" si="0"/>
        <v>1215.6116</v>
      </c>
      <c r="K8" s="101">
        <f t="shared" si="0"/>
        <v>838.77440000000001</v>
      </c>
      <c r="L8" s="101">
        <f t="shared" si="0"/>
        <v>374.35500000000002</v>
      </c>
      <c r="M8" s="101">
        <f t="shared" si="0"/>
        <v>6980</v>
      </c>
      <c r="N8" s="101">
        <f t="shared" si="0"/>
        <v>2792</v>
      </c>
      <c r="O8" s="101">
        <f t="shared" si="0"/>
        <v>4188</v>
      </c>
      <c r="P8" s="101">
        <f t="shared" si="0"/>
        <v>2840</v>
      </c>
      <c r="Q8" s="101">
        <f t="shared" si="0"/>
        <v>1348</v>
      </c>
      <c r="R8" s="101">
        <f t="shared" si="0"/>
        <v>9461.6257999999998</v>
      </c>
      <c r="S8" s="101">
        <f t="shared" si="0"/>
        <v>3825.6894000000002</v>
      </c>
      <c r="T8" s="101">
        <f t="shared" si="0"/>
        <v>5635.9363999999996</v>
      </c>
      <c r="U8" s="101">
        <f t="shared" si="0"/>
        <v>3835.3123999999998</v>
      </c>
      <c r="V8" s="101">
        <f t="shared" si="0"/>
        <v>1800.6240000000003</v>
      </c>
      <c r="W8" s="101">
        <f t="shared" si="0"/>
        <v>599.62599999999998</v>
      </c>
      <c r="X8" s="101">
        <f t="shared" si="0"/>
        <v>276.26499999999999</v>
      </c>
      <c r="Y8" s="101">
        <f t="shared" si="0"/>
        <v>323.36099999999999</v>
      </c>
      <c r="Z8" s="101">
        <f t="shared" si="0"/>
        <v>237.03400000000002</v>
      </c>
      <c r="AA8" s="101">
        <f t="shared" si="0"/>
        <v>86.326999999999998</v>
      </c>
      <c r="AB8" s="101">
        <f t="shared" si="0"/>
        <v>1477.963</v>
      </c>
      <c r="AC8" s="101">
        <f t="shared" si="0"/>
        <v>615.37799999999993</v>
      </c>
      <c r="AD8" s="101">
        <f t="shared" si="0"/>
        <v>862.58500000000004</v>
      </c>
      <c r="AE8" s="101">
        <f t="shared" si="0"/>
        <v>604.21100000000001</v>
      </c>
      <c r="AF8" s="101">
        <f t="shared" si="0"/>
        <v>258.37400000000002</v>
      </c>
      <c r="AG8" s="101">
        <f t="shared" si="0"/>
        <v>1489.9480000000001</v>
      </c>
      <c r="AH8" s="101">
        <f t="shared" si="0"/>
        <v>891.16200000000003</v>
      </c>
      <c r="AI8" s="101">
        <f t="shared" si="0"/>
        <v>598.78600000000006</v>
      </c>
      <c r="AJ8" s="101">
        <f t="shared" si="0"/>
        <v>440.529</v>
      </c>
      <c r="AK8" s="101">
        <f t="shared" si="0"/>
        <v>158.25700000000001</v>
      </c>
      <c r="AL8" s="56">
        <f t="shared" si="0"/>
        <v>3489.3139999999999</v>
      </c>
      <c r="AM8" s="56">
        <f t="shared" si="0"/>
        <v>1741.8050000000001</v>
      </c>
      <c r="AN8" s="56">
        <f t="shared" si="0"/>
        <v>1747.5090000000002</v>
      </c>
      <c r="AO8" s="101">
        <f t="shared" si="0"/>
        <v>1244.5510000000002</v>
      </c>
      <c r="AP8" s="101">
        <f t="shared" si="0"/>
        <v>502.95799999999997</v>
      </c>
      <c r="AQ8" s="108">
        <f>AL8/R8*100</f>
        <v>36.878588032936158</v>
      </c>
      <c r="AR8" s="101">
        <f t="shared" ref="AR8" si="1">AR9</f>
        <v>4692</v>
      </c>
      <c r="AS8" s="150">
        <f>AR8/R8*100</f>
        <v>49.589786144364325</v>
      </c>
    </row>
    <row r="9" spans="1:45" s="30" customFormat="1" x14ac:dyDescent="0.25">
      <c r="A9" s="5"/>
      <c r="B9" s="128" t="s">
        <v>145</v>
      </c>
      <c r="C9" s="101">
        <f>C10+C13+C18+C23+C29+C31</f>
        <v>408.69100000000003</v>
      </c>
      <c r="D9" s="101">
        <f t="shared" ref="D9:AP9" si="2">D10+D13+D18+D23+D29+D31</f>
        <v>173.88400000000001</v>
      </c>
      <c r="E9" s="101">
        <f t="shared" si="2"/>
        <v>234.80700000000002</v>
      </c>
      <c r="F9" s="101">
        <f t="shared" si="2"/>
        <v>156.53800000000001</v>
      </c>
      <c r="G9" s="101">
        <f t="shared" si="2"/>
        <v>78.269000000000005</v>
      </c>
      <c r="H9" s="101">
        <f t="shared" si="2"/>
        <v>2081.4169999999999</v>
      </c>
      <c r="I9" s="101">
        <f t="shared" si="2"/>
        <v>859.80539999999996</v>
      </c>
      <c r="J9" s="101">
        <f t="shared" si="2"/>
        <v>1215.6116</v>
      </c>
      <c r="K9" s="101">
        <f t="shared" si="2"/>
        <v>838.77440000000001</v>
      </c>
      <c r="L9" s="101">
        <f t="shared" si="2"/>
        <v>374.35500000000002</v>
      </c>
      <c r="M9" s="101">
        <f>M10+M13+M18+M23+M29+M31</f>
        <v>6980</v>
      </c>
      <c r="N9" s="101">
        <f t="shared" si="2"/>
        <v>2792</v>
      </c>
      <c r="O9" s="101">
        <f t="shared" si="2"/>
        <v>4188</v>
      </c>
      <c r="P9" s="101">
        <f t="shared" si="2"/>
        <v>2840</v>
      </c>
      <c r="Q9" s="101">
        <f t="shared" si="2"/>
        <v>1348</v>
      </c>
      <c r="R9" s="101">
        <f t="shared" si="2"/>
        <v>9461.6257999999998</v>
      </c>
      <c r="S9" s="101">
        <f t="shared" si="2"/>
        <v>3825.6894000000002</v>
      </c>
      <c r="T9" s="101">
        <f t="shared" si="2"/>
        <v>5635.9363999999996</v>
      </c>
      <c r="U9" s="101">
        <f t="shared" si="2"/>
        <v>3835.3123999999998</v>
      </c>
      <c r="V9" s="101">
        <f t="shared" si="2"/>
        <v>1800.6240000000003</v>
      </c>
      <c r="W9" s="101">
        <f t="shared" si="2"/>
        <v>599.62599999999998</v>
      </c>
      <c r="X9" s="101">
        <f t="shared" si="2"/>
        <v>276.26499999999999</v>
      </c>
      <c r="Y9" s="101">
        <f t="shared" si="2"/>
        <v>323.36099999999999</v>
      </c>
      <c r="Z9" s="101">
        <f t="shared" si="2"/>
        <v>237.03400000000002</v>
      </c>
      <c r="AA9" s="101">
        <f t="shared" si="2"/>
        <v>86.326999999999998</v>
      </c>
      <c r="AB9" s="101">
        <f t="shared" si="2"/>
        <v>1477.963</v>
      </c>
      <c r="AC9" s="101">
        <f t="shared" si="2"/>
        <v>615.37799999999993</v>
      </c>
      <c r="AD9" s="101">
        <f t="shared" si="2"/>
        <v>862.58500000000004</v>
      </c>
      <c r="AE9" s="101">
        <f t="shared" si="2"/>
        <v>604.21100000000001</v>
      </c>
      <c r="AF9" s="101">
        <f t="shared" si="2"/>
        <v>258.37400000000002</v>
      </c>
      <c r="AG9" s="101">
        <f t="shared" si="2"/>
        <v>1489.9480000000001</v>
      </c>
      <c r="AH9" s="101">
        <f t="shared" si="2"/>
        <v>891.16200000000003</v>
      </c>
      <c r="AI9" s="101">
        <f t="shared" si="2"/>
        <v>598.78600000000006</v>
      </c>
      <c r="AJ9" s="101">
        <f t="shared" si="2"/>
        <v>440.529</v>
      </c>
      <c r="AK9" s="101">
        <f t="shared" si="2"/>
        <v>158.25700000000001</v>
      </c>
      <c r="AL9" s="56">
        <f t="shared" si="2"/>
        <v>3489.3139999999999</v>
      </c>
      <c r="AM9" s="56">
        <f t="shared" si="2"/>
        <v>1741.8050000000001</v>
      </c>
      <c r="AN9" s="56">
        <f t="shared" si="2"/>
        <v>1747.5090000000002</v>
      </c>
      <c r="AO9" s="101">
        <f t="shared" si="2"/>
        <v>1244.5510000000002</v>
      </c>
      <c r="AP9" s="101">
        <f t="shared" si="2"/>
        <v>502.95799999999997</v>
      </c>
      <c r="AQ9" s="108">
        <f t="shared" ref="AQ9:AQ10" si="3">AL9/R9*100</f>
        <v>36.878588032936158</v>
      </c>
      <c r="AR9" s="101">
        <f>AR10+AR13+AR18+AR23+AR29+AR31</f>
        <v>4692</v>
      </c>
      <c r="AS9" s="150">
        <f t="shared" ref="AS9:AS32" si="4">AR9/R9*100</f>
        <v>49.589786144364325</v>
      </c>
    </row>
    <row r="10" spans="1:45" s="30" customFormat="1" x14ac:dyDescent="0.25">
      <c r="A10" s="5" t="s">
        <v>1</v>
      </c>
      <c r="B10" s="128" t="s">
        <v>108</v>
      </c>
      <c r="C10" s="101">
        <f>SUM(C11:C12)</f>
        <v>287.36</v>
      </c>
      <c r="D10" s="101">
        <f t="shared" ref="D10:AR10" si="5">SUM(D11:D12)</f>
        <v>114.94400000000002</v>
      </c>
      <c r="E10" s="101">
        <f t="shared" si="5"/>
        <v>172.416</v>
      </c>
      <c r="F10" s="101">
        <f t="shared" si="5"/>
        <v>114.944</v>
      </c>
      <c r="G10" s="101">
        <f t="shared" si="5"/>
        <v>57.472000000000001</v>
      </c>
      <c r="H10" s="101">
        <f t="shared" si="5"/>
        <v>107.52</v>
      </c>
      <c r="I10" s="101">
        <f t="shared" si="5"/>
        <v>43.008000000000003</v>
      </c>
      <c r="J10" s="101">
        <f t="shared" si="5"/>
        <v>64.512</v>
      </c>
      <c r="K10" s="101">
        <f t="shared" si="5"/>
        <v>43.007999999999996</v>
      </c>
      <c r="L10" s="101">
        <f t="shared" si="5"/>
        <v>21.503999999999998</v>
      </c>
      <c r="M10" s="101">
        <f t="shared" si="5"/>
        <v>0</v>
      </c>
      <c r="N10" s="101">
        <f t="shared" si="5"/>
        <v>0</v>
      </c>
      <c r="O10" s="101">
        <f t="shared" si="5"/>
        <v>0</v>
      </c>
      <c r="P10" s="101">
        <f t="shared" si="5"/>
        <v>0</v>
      </c>
      <c r="Q10" s="101">
        <f t="shared" si="5"/>
        <v>0</v>
      </c>
      <c r="R10" s="101">
        <f>SUM(R11:R12)</f>
        <v>394.88</v>
      </c>
      <c r="S10" s="101">
        <f t="shared" si="5"/>
        <v>157.95200000000003</v>
      </c>
      <c r="T10" s="101">
        <f t="shared" si="5"/>
        <v>236.928</v>
      </c>
      <c r="U10" s="101">
        <f t="shared" si="5"/>
        <v>157.952</v>
      </c>
      <c r="V10" s="101">
        <f t="shared" si="5"/>
        <v>78.975999999999999</v>
      </c>
      <c r="W10" s="101">
        <f t="shared" si="5"/>
        <v>257.67</v>
      </c>
      <c r="X10" s="101">
        <f t="shared" si="5"/>
        <v>110.94400000000002</v>
      </c>
      <c r="Y10" s="101">
        <f t="shared" si="5"/>
        <v>146.726</v>
      </c>
      <c r="Z10" s="101">
        <f t="shared" si="5"/>
        <v>110.944</v>
      </c>
      <c r="AA10" s="101">
        <f t="shared" si="5"/>
        <v>35.781999999999996</v>
      </c>
      <c r="AB10" s="101">
        <f t="shared" si="5"/>
        <v>0</v>
      </c>
      <c r="AC10" s="101">
        <f t="shared" si="5"/>
        <v>0</v>
      </c>
      <c r="AD10" s="101">
        <f t="shared" si="5"/>
        <v>0</v>
      </c>
      <c r="AE10" s="101">
        <f t="shared" si="5"/>
        <v>0</v>
      </c>
      <c r="AF10" s="101">
        <f t="shared" si="5"/>
        <v>0</v>
      </c>
      <c r="AG10" s="101">
        <f t="shared" si="5"/>
        <v>0</v>
      </c>
      <c r="AH10" s="101">
        <f t="shared" si="5"/>
        <v>0</v>
      </c>
      <c r="AI10" s="101">
        <f t="shared" si="5"/>
        <v>0</v>
      </c>
      <c r="AJ10" s="101">
        <f t="shared" si="5"/>
        <v>0</v>
      </c>
      <c r="AK10" s="101">
        <f t="shared" si="5"/>
        <v>0</v>
      </c>
      <c r="AL10" s="56">
        <f t="shared" si="5"/>
        <v>257.67</v>
      </c>
      <c r="AM10" s="56">
        <f t="shared" si="5"/>
        <v>110.94400000000002</v>
      </c>
      <c r="AN10" s="56">
        <f t="shared" si="5"/>
        <v>146.726</v>
      </c>
      <c r="AO10" s="101">
        <f t="shared" si="5"/>
        <v>110.944</v>
      </c>
      <c r="AP10" s="101">
        <f t="shared" si="5"/>
        <v>35.781999999999996</v>
      </c>
      <c r="AQ10" s="108">
        <f t="shared" si="3"/>
        <v>65.252735008103741</v>
      </c>
      <c r="AR10" s="101">
        <f t="shared" si="5"/>
        <v>700</v>
      </c>
      <c r="AS10" s="150">
        <f t="shared" si="4"/>
        <v>177.26904376012968</v>
      </c>
    </row>
    <row r="11" spans="1:45" s="30" customFormat="1" ht="110.25" x14ac:dyDescent="0.25">
      <c r="A11" s="8">
        <v>1</v>
      </c>
      <c r="B11" s="116" t="s">
        <v>146</v>
      </c>
      <c r="C11" s="103">
        <v>277.36</v>
      </c>
      <c r="D11" s="103">
        <v>110.94400000000002</v>
      </c>
      <c r="E11" s="103">
        <v>166.416</v>
      </c>
      <c r="F11" s="103">
        <v>110.944</v>
      </c>
      <c r="G11" s="103">
        <v>55.472000000000001</v>
      </c>
      <c r="H11" s="103">
        <v>97.52</v>
      </c>
      <c r="I11" s="103">
        <v>39.008000000000003</v>
      </c>
      <c r="J11" s="103">
        <v>58.511999999999993</v>
      </c>
      <c r="K11" s="103">
        <v>39.007999999999996</v>
      </c>
      <c r="L11" s="103">
        <v>19.503999999999998</v>
      </c>
      <c r="M11" s="103"/>
      <c r="N11" s="104"/>
      <c r="O11" s="104"/>
      <c r="P11" s="104"/>
      <c r="Q11" s="104"/>
      <c r="R11" s="103">
        <f>S11+T11</f>
        <v>374.88</v>
      </c>
      <c r="S11" s="103">
        <f>D11+I11+N11</f>
        <v>149.95200000000003</v>
      </c>
      <c r="T11" s="103">
        <f>U11+V11</f>
        <v>224.928</v>
      </c>
      <c r="U11" s="103">
        <f t="shared" ref="U11:V26" si="6">F11+K11+P11</f>
        <v>149.952</v>
      </c>
      <c r="V11" s="103">
        <f t="shared" si="6"/>
        <v>74.975999999999999</v>
      </c>
      <c r="W11" s="42">
        <f>X11+Y11</f>
        <v>257.67</v>
      </c>
      <c r="X11" s="103">
        <v>110.94400000000002</v>
      </c>
      <c r="Y11" s="103">
        <f>Z11+AA11</f>
        <v>146.726</v>
      </c>
      <c r="Z11" s="103">
        <v>110.944</v>
      </c>
      <c r="AA11" s="103">
        <v>35.781999999999996</v>
      </c>
      <c r="AB11" s="103">
        <f>AC11+AD11</f>
        <v>0</v>
      </c>
      <c r="AC11" s="101"/>
      <c r="AD11" s="103">
        <f>AE11+AF11</f>
        <v>0</v>
      </c>
      <c r="AE11" s="101"/>
      <c r="AF11" s="101"/>
      <c r="AG11" s="103">
        <f>AH11+AI11</f>
        <v>0</v>
      </c>
      <c r="AH11" s="101"/>
      <c r="AI11" s="103">
        <f>AJ11+AK11</f>
        <v>0</v>
      </c>
      <c r="AJ11" s="101"/>
      <c r="AK11" s="101"/>
      <c r="AL11" s="42">
        <f>AM11+AN11</f>
        <v>257.67</v>
      </c>
      <c r="AM11" s="42">
        <f>AH11+AC11+X11</f>
        <v>110.94400000000002</v>
      </c>
      <c r="AN11" s="42">
        <f>AO11+AP11</f>
        <v>146.726</v>
      </c>
      <c r="AO11" s="103">
        <f>AJ11+AE11+Z11</f>
        <v>110.944</v>
      </c>
      <c r="AP11" s="103">
        <f>AK11+AF11+AA11</f>
        <v>35.781999999999996</v>
      </c>
      <c r="AQ11" s="110">
        <f>AL11/R11*100</f>
        <v>68.733994878361088</v>
      </c>
      <c r="AR11" s="152">
        <v>700</v>
      </c>
      <c r="AS11" s="153">
        <f t="shared" si="4"/>
        <v>186.72641912078532</v>
      </c>
    </row>
    <row r="12" spans="1:45" s="30" customFormat="1" ht="157.5" x14ac:dyDescent="0.25">
      <c r="A12" s="8">
        <v>2</v>
      </c>
      <c r="B12" s="116" t="s">
        <v>156</v>
      </c>
      <c r="C12" s="103">
        <f t="shared" ref="C12" si="7">D12+E12</f>
        <v>10</v>
      </c>
      <c r="D12" s="103">
        <v>4</v>
      </c>
      <c r="E12" s="103">
        <f>F12+G12</f>
        <v>6</v>
      </c>
      <c r="F12" s="103">
        <v>4</v>
      </c>
      <c r="G12" s="103">
        <v>2</v>
      </c>
      <c r="H12" s="103">
        <f>I12+J12</f>
        <v>10</v>
      </c>
      <c r="I12" s="103">
        <v>4</v>
      </c>
      <c r="J12" s="103">
        <v>6</v>
      </c>
      <c r="K12" s="103">
        <v>4</v>
      </c>
      <c r="L12" s="103">
        <v>2</v>
      </c>
      <c r="M12" s="101"/>
      <c r="N12" s="104"/>
      <c r="O12" s="104"/>
      <c r="P12" s="104"/>
      <c r="Q12" s="104"/>
      <c r="R12" s="103">
        <f t="shared" ref="R12:R32" si="8">S12+T12</f>
        <v>20</v>
      </c>
      <c r="S12" s="103">
        <f t="shared" ref="S12:S32" si="9">D12+I12+N12</f>
        <v>8</v>
      </c>
      <c r="T12" s="103">
        <f t="shared" ref="T12:T32" si="10">U12+V12</f>
        <v>12</v>
      </c>
      <c r="U12" s="103">
        <f t="shared" si="6"/>
        <v>8</v>
      </c>
      <c r="V12" s="103">
        <f t="shared" si="6"/>
        <v>4</v>
      </c>
      <c r="W12" s="103">
        <f t="shared" ref="W12:W30" si="11">X12+Y12</f>
        <v>0</v>
      </c>
      <c r="X12" s="101"/>
      <c r="Y12" s="103">
        <f t="shared" ref="Y12:Y30" si="12">Z12+AA12</f>
        <v>0</v>
      </c>
      <c r="Z12" s="101"/>
      <c r="AA12" s="101"/>
      <c r="AB12" s="103">
        <f t="shared" ref="AB12:AB30" si="13">AC12+AD12</f>
        <v>0</v>
      </c>
      <c r="AC12" s="101"/>
      <c r="AD12" s="103">
        <f t="shared" ref="AD12:AD28" si="14">AE12+AF12</f>
        <v>0</v>
      </c>
      <c r="AE12" s="101"/>
      <c r="AF12" s="101"/>
      <c r="AG12" s="103">
        <f t="shared" ref="AG12:AG30" si="15">AH12+AI12</f>
        <v>0</v>
      </c>
      <c r="AH12" s="101"/>
      <c r="AI12" s="103">
        <f t="shared" ref="AI12:AI28" si="16">AJ12+AK12</f>
        <v>0</v>
      </c>
      <c r="AJ12" s="101"/>
      <c r="AK12" s="101"/>
      <c r="AL12" s="42">
        <f t="shared" ref="AL12:AL32" si="17">AM12+AN12</f>
        <v>0</v>
      </c>
      <c r="AM12" s="42">
        <f t="shared" ref="AM12:AM32" si="18">AH12+AC12+X12</f>
        <v>0</v>
      </c>
      <c r="AN12" s="42">
        <f t="shared" ref="AN12:AN32" si="19">AO12+AP12</f>
        <v>0</v>
      </c>
      <c r="AO12" s="103">
        <f t="shared" ref="AO12:AO32" si="20">AJ12+AE12+Z12</f>
        <v>0</v>
      </c>
      <c r="AP12" s="103">
        <f t="shared" ref="AP12:AP32" si="21">AK12+AF12+AA12</f>
        <v>0</v>
      </c>
      <c r="AQ12" s="103">
        <f t="shared" ref="AQ12:AQ31" si="22">AL12/R12*100</f>
        <v>0</v>
      </c>
      <c r="AR12" s="154"/>
      <c r="AS12" s="153">
        <f t="shared" si="4"/>
        <v>0</v>
      </c>
    </row>
    <row r="13" spans="1:45" s="30" customFormat="1" ht="31.5" x14ac:dyDescent="0.25">
      <c r="A13" s="5" t="s">
        <v>2</v>
      </c>
      <c r="B13" s="128" t="s">
        <v>111</v>
      </c>
      <c r="C13" s="101">
        <f>SUM(C14:C17)</f>
        <v>27.346</v>
      </c>
      <c r="D13" s="101">
        <f t="shared" ref="D13:L13" si="23">SUM(D14:D17)</f>
        <v>21.346</v>
      </c>
      <c r="E13" s="101">
        <f t="shared" si="23"/>
        <v>6</v>
      </c>
      <c r="F13" s="101">
        <f t="shared" si="23"/>
        <v>4</v>
      </c>
      <c r="G13" s="101">
        <f t="shared" si="23"/>
        <v>2</v>
      </c>
      <c r="H13" s="101">
        <f t="shared" si="23"/>
        <v>351.13599999999997</v>
      </c>
      <c r="I13" s="101">
        <f t="shared" si="23"/>
        <v>138.05439999999999</v>
      </c>
      <c r="J13" s="101">
        <f t="shared" si="23"/>
        <v>207.08160000000001</v>
      </c>
      <c r="K13" s="101">
        <f t="shared" si="23"/>
        <v>138.05439999999999</v>
      </c>
      <c r="L13" s="101">
        <f t="shared" si="23"/>
        <v>66.545000000000002</v>
      </c>
      <c r="M13" s="101">
        <f t="shared" ref="M13:R13" si="24">SUM(M14:M17)</f>
        <v>120</v>
      </c>
      <c r="N13" s="101">
        <f t="shared" si="24"/>
        <v>48</v>
      </c>
      <c r="O13" s="101">
        <f t="shared" si="24"/>
        <v>72</v>
      </c>
      <c r="P13" s="101">
        <f t="shared" si="24"/>
        <v>48</v>
      </c>
      <c r="Q13" s="101">
        <f t="shared" si="24"/>
        <v>24</v>
      </c>
      <c r="R13" s="101">
        <f t="shared" si="24"/>
        <v>489.99979999999999</v>
      </c>
      <c r="S13" s="101">
        <f t="shared" ref="S13:V13" si="25">SUM(S14:S17)</f>
        <v>207.40039999999999</v>
      </c>
      <c r="T13" s="101">
        <f t="shared" si="25"/>
        <v>282.5994</v>
      </c>
      <c r="U13" s="101">
        <f t="shared" si="25"/>
        <v>190.05439999999999</v>
      </c>
      <c r="V13" s="101">
        <f t="shared" si="25"/>
        <v>92.545000000000002</v>
      </c>
      <c r="W13" s="101">
        <f t="shared" ref="W13:AR13" si="26">SUM(W14:W17)</f>
        <v>175</v>
      </c>
      <c r="X13" s="101">
        <f t="shared" si="26"/>
        <v>87</v>
      </c>
      <c r="Y13" s="101">
        <f t="shared" si="26"/>
        <v>88</v>
      </c>
      <c r="Z13" s="101">
        <f t="shared" si="26"/>
        <v>67</v>
      </c>
      <c r="AA13" s="101">
        <f t="shared" si="26"/>
        <v>21</v>
      </c>
      <c r="AB13" s="101">
        <f t="shared" si="26"/>
        <v>171</v>
      </c>
      <c r="AC13" s="101">
        <f t="shared" si="26"/>
        <v>68.400000000000006</v>
      </c>
      <c r="AD13" s="101">
        <f t="shared" si="26"/>
        <v>102.60000000000001</v>
      </c>
      <c r="AE13" s="101">
        <f t="shared" si="26"/>
        <v>68.400000000000006</v>
      </c>
      <c r="AF13" s="101">
        <f t="shared" si="26"/>
        <v>34.200000000000003</v>
      </c>
      <c r="AG13" s="101">
        <f t="shared" si="26"/>
        <v>0</v>
      </c>
      <c r="AH13" s="101">
        <f t="shared" si="26"/>
        <v>0</v>
      </c>
      <c r="AI13" s="101">
        <f t="shared" si="26"/>
        <v>0</v>
      </c>
      <c r="AJ13" s="101">
        <f t="shared" si="26"/>
        <v>0</v>
      </c>
      <c r="AK13" s="101">
        <f t="shared" si="26"/>
        <v>0</v>
      </c>
      <c r="AL13" s="56">
        <f t="shared" si="26"/>
        <v>346</v>
      </c>
      <c r="AM13" s="56">
        <f t="shared" si="26"/>
        <v>155.4</v>
      </c>
      <c r="AN13" s="56">
        <f t="shared" si="26"/>
        <v>190.60000000000002</v>
      </c>
      <c r="AO13" s="101">
        <f t="shared" si="26"/>
        <v>135.4</v>
      </c>
      <c r="AP13" s="101">
        <f t="shared" si="26"/>
        <v>55.2</v>
      </c>
      <c r="AQ13" s="110">
        <f t="shared" si="22"/>
        <v>70.612273719295388</v>
      </c>
      <c r="AR13" s="101">
        <f t="shared" si="26"/>
        <v>446</v>
      </c>
      <c r="AS13" s="150">
        <f t="shared" si="4"/>
        <v>91.02044531446748</v>
      </c>
    </row>
    <row r="14" spans="1:45" s="30" customFormat="1" ht="78.75" x14ac:dyDescent="0.25">
      <c r="A14" s="8">
        <v>1</v>
      </c>
      <c r="B14" s="116" t="s">
        <v>175</v>
      </c>
      <c r="C14" s="103">
        <f>D14+E14</f>
        <v>0</v>
      </c>
      <c r="D14" s="155"/>
      <c r="E14" s="103"/>
      <c r="F14" s="103"/>
      <c r="G14" s="103"/>
      <c r="H14" s="103">
        <f>I14+J14</f>
        <v>171</v>
      </c>
      <c r="I14" s="103">
        <v>68.400000000000006</v>
      </c>
      <c r="J14" s="103">
        <f>K14+L14</f>
        <v>102.60000000000001</v>
      </c>
      <c r="K14" s="103">
        <v>68.400000000000006</v>
      </c>
      <c r="L14" s="103">
        <v>34.200000000000003</v>
      </c>
      <c r="M14" s="101"/>
      <c r="N14" s="105"/>
      <c r="O14" s="105"/>
      <c r="P14" s="105"/>
      <c r="Q14" s="105"/>
      <c r="R14" s="103">
        <f>S14+T14</f>
        <v>171</v>
      </c>
      <c r="S14" s="103">
        <f>D14+I14+N14</f>
        <v>68.400000000000006</v>
      </c>
      <c r="T14" s="103">
        <f>U14+V14</f>
        <v>102.60000000000001</v>
      </c>
      <c r="U14" s="103">
        <f>F14+K14+P14</f>
        <v>68.400000000000006</v>
      </c>
      <c r="V14" s="103">
        <f t="shared" si="6"/>
        <v>34.200000000000003</v>
      </c>
      <c r="W14" s="103">
        <f t="shared" si="11"/>
        <v>0</v>
      </c>
      <c r="X14" s="101"/>
      <c r="Y14" s="103">
        <f t="shared" si="12"/>
        <v>0</v>
      </c>
      <c r="Z14" s="101"/>
      <c r="AA14" s="101"/>
      <c r="AB14" s="103">
        <f t="shared" si="13"/>
        <v>171</v>
      </c>
      <c r="AC14" s="103">
        <v>68.400000000000006</v>
      </c>
      <c r="AD14" s="103">
        <f>AE14+AF14</f>
        <v>102.60000000000001</v>
      </c>
      <c r="AE14" s="103">
        <v>68.400000000000006</v>
      </c>
      <c r="AF14" s="103">
        <v>34.200000000000003</v>
      </c>
      <c r="AG14" s="103">
        <f t="shared" si="15"/>
        <v>0</v>
      </c>
      <c r="AH14" s="101"/>
      <c r="AI14" s="103">
        <f t="shared" si="16"/>
        <v>0</v>
      </c>
      <c r="AJ14" s="101"/>
      <c r="AK14" s="101"/>
      <c r="AL14" s="42">
        <f t="shared" si="17"/>
        <v>171</v>
      </c>
      <c r="AM14" s="42">
        <f t="shared" si="18"/>
        <v>68.400000000000006</v>
      </c>
      <c r="AN14" s="42">
        <f t="shared" si="19"/>
        <v>102.60000000000001</v>
      </c>
      <c r="AO14" s="103">
        <f t="shared" si="20"/>
        <v>68.400000000000006</v>
      </c>
      <c r="AP14" s="103">
        <f t="shared" si="21"/>
        <v>34.200000000000003</v>
      </c>
      <c r="AQ14" s="103">
        <f t="shared" si="22"/>
        <v>100</v>
      </c>
      <c r="AR14" s="152">
        <v>171</v>
      </c>
      <c r="AS14" s="153">
        <f t="shared" si="4"/>
        <v>100</v>
      </c>
    </row>
    <row r="15" spans="1:45" s="30" customFormat="1" ht="110.25" x14ac:dyDescent="0.25">
      <c r="A15" s="8">
        <v>2</v>
      </c>
      <c r="B15" s="17" t="s">
        <v>57</v>
      </c>
      <c r="C15" s="103">
        <f>D15</f>
        <v>17.346</v>
      </c>
      <c r="D15" s="103">
        <v>17.346</v>
      </c>
      <c r="E15" s="42"/>
      <c r="F15" s="103"/>
      <c r="G15" s="103"/>
      <c r="H15" s="103">
        <v>174.136</v>
      </c>
      <c r="I15" s="103">
        <f>H15*40%</f>
        <v>69.654399999999995</v>
      </c>
      <c r="J15" s="103">
        <f>H15*60%</f>
        <v>104.4816</v>
      </c>
      <c r="K15" s="103">
        <f>J15/15*10</f>
        <v>69.654399999999995</v>
      </c>
      <c r="L15" s="103">
        <v>26.344999999999999</v>
      </c>
      <c r="M15" s="56"/>
      <c r="N15" s="105"/>
      <c r="O15" s="105"/>
      <c r="P15" s="105"/>
      <c r="Q15" s="105"/>
      <c r="R15" s="103">
        <f t="shared" si="8"/>
        <v>182.99979999999999</v>
      </c>
      <c r="S15" s="103">
        <f t="shared" si="9"/>
        <v>87.000399999999999</v>
      </c>
      <c r="T15" s="103">
        <f t="shared" si="10"/>
        <v>95.999399999999994</v>
      </c>
      <c r="U15" s="103">
        <f t="shared" ref="U15:U17" si="27">F15+K15+P15</f>
        <v>69.654399999999995</v>
      </c>
      <c r="V15" s="103">
        <f t="shared" si="6"/>
        <v>26.344999999999999</v>
      </c>
      <c r="W15" s="103">
        <f t="shared" si="11"/>
        <v>175</v>
      </c>
      <c r="X15" s="101">
        <v>87</v>
      </c>
      <c r="Y15" s="103">
        <f>Z15+AA15</f>
        <v>88</v>
      </c>
      <c r="Z15" s="101">
        <v>67</v>
      </c>
      <c r="AA15" s="101">
        <v>21</v>
      </c>
      <c r="AB15" s="103">
        <f t="shared" si="13"/>
        <v>0</v>
      </c>
      <c r="AC15" s="101"/>
      <c r="AD15" s="103">
        <f t="shared" si="14"/>
        <v>0</v>
      </c>
      <c r="AE15" s="101"/>
      <c r="AF15" s="101"/>
      <c r="AG15" s="103">
        <f t="shared" si="15"/>
        <v>0</v>
      </c>
      <c r="AH15" s="101"/>
      <c r="AI15" s="103">
        <f t="shared" si="16"/>
        <v>0</v>
      </c>
      <c r="AJ15" s="101"/>
      <c r="AK15" s="101"/>
      <c r="AL15" s="42">
        <f t="shared" si="17"/>
        <v>175</v>
      </c>
      <c r="AM15" s="42">
        <f t="shared" si="18"/>
        <v>87</v>
      </c>
      <c r="AN15" s="42">
        <f t="shared" si="19"/>
        <v>88</v>
      </c>
      <c r="AO15" s="103">
        <f t="shared" si="20"/>
        <v>67</v>
      </c>
      <c r="AP15" s="103">
        <f t="shared" si="21"/>
        <v>21</v>
      </c>
      <c r="AQ15" s="103">
        <f t="shared" si="22"/>
        <v>95.628519812589957</v>
      </c>
      <c r="AR15" s="152">
        <v>183</v>
      </c>
      <c r="AS15" s="153">
        <f t="shared" si="4"/>
        <v>100.00010928973693</v>
      </c>
    </row>
    <row r="16" spans="1:45" s="30" customFormat="1" ht="157.5" x14ac:dyDescent="0.25">
      <c r="A16" s="8">
        <v>3</v>
      </c>
      <c r="B16" s="116" t="s">
        <v>156</v>
      </c>
      <c r="C16" s="103">
        <f t="shared" ref="C16" si="28">D16+E16</f>
        <v>10</v>
      </c>
      <c r="D16" s="103">
        <v>4</v>
      </c>
      <c r="E16" s="103">
        <f>F16+G16</f>
        <v>6</v>
      </c>
      <c r="F16" s="103">
        <v>4</v>
      </c>
      <c r="G16" s="103">
        <v>2</v>
      </c>
      <c r="H16" s="103">
        <f>L16</f>
        <v>6</v>
      </c>
      <c r="I16" s="103"/>
      <c r="J16" s="103"/>
      <c r="K16" s="103"/>
      <c r="L16" s="103">
        <v>6</v>
      </c>
      <c r="M16" s="103">
        <f>N16+O16</f>
        <v>25</v>
      </c>
      <c r="N16" s="105">
        <v>10</v>
      </c>
      <c r="O16" s="105">
        <v>15</v>
      </c>
      <c r="P16" s="105">
        <v>10</v>
      </c>
      <c r="Q16" s="105">
        <v>5</v>
      </c>
      <c r="R16" s="103">
        <f t="shared" si="8"/>
        <v>41</v>
      </c>
      <c r="S16" s="103">
        <f t="shared" si="9"/>
        <v>14</v>
      </c>
      <c r="T16" s="103">
        <f t="shared" si="10"/>
        <v>27</v>
      </c>
      <c r="U16" s="103">
        <f t="shared" si="27"/>
        <v>14</v>
      </c>
      <c r="V16" s="103">
        <f t="shared" si="6"/>
        <v>13</v>
      </c>
      <c r="W16" s="103">
        <f t="shared" si="11"/>
        <v>0</v>
      </c>
      <c r="X16" s="101"/>
      <c r="Y16" s="103">
        <f t="shared" si="12"/>
        <v>0</v>
      </c>
      <c r="Z16" s="101"/>
      <c r="AA16" s="101"/>
      <c r="AB16" s="103">
        <f t="shared" si="13"/>
        <v>0</v>
      </c>
      <c r="AC16" s="101"/>
      <c r="AD16" s="103">
        <f t="shared" si="14"/>
        <v>0</v>
      </c>
      <c r="AE16" s="101"/>
      <c r="AF16" s="101"/>
      <c r="AG16" s="103">
        <f t="shared" si="15"/>
        <v>0</v>
      </c>
      <c r="AH16" s="101"/>
      <c r="AI16" s="103">
        <f t="shared" si="16"/>
        <v>0</v>
      </c>
      <c r="AJ16" s="101"/>
      <c r="AK16" s="101"/>
      <c r="AL16" s="42">
        <f t="shared" si="17"/>
        <v>0</v>
      </c>
      <c r="AM16" s="42">
        <f t="shared" si="18"/>
        <v>0</v>
      </c>
      <c r="AN16" s="42">
        <f t="shared" si="19"/>
        <v>0</v>
      </c>
      <c r="AO16" s="103">
        <f t="shared" si="20"/>
        <v>0</v>
      </c>
      <c r="AP16" s="103">
        <f t="shared" si="21"/>
        <v>0</v>
      </c>
      <c r="AQ16" s="103">
        <f t="shared" si="22"/>
        <v>0</v>
      </c>
      <c r="AR16" s="154"/>
      <c r="AS16" s="153">
        <f t="shared" si="4"/>
        <v>0</v>
      </c>
    </row>
    <row r="17" spans="1:45" s="30" customFormat="1" ht="141.75" x14ac:dyDescent="0.25">
      <c r="A17" s="8">
        <v>4</v>
      </c>
      <c r="B17" s="17" t="s">
        <v>169</v>
      </c>
      <c r="C17" s="103"/>
      <c r="D17" s="103"/>
      <c r="E17" s="103"/>
      <c r="F17" s="103"/>
      <c r="G17" s="103"/>
      <c r="H17" s="103"/>
      <c r="I17" s="103"/>
      <c r="J17" s="103"/>
      <c r="K17" s="103"/>
      <c r="L17" s="103"/>
      <c r="M17" s="103">
        <f>N17+O17</f>
        <v>95</v>
      </c>
      <c r="N17" s="105">
        <v>38</v>
      </c>
      <c r="O17" s="105">
        <f>P17+Q17</f>
        <v>57</v>
      </c>
      <c r="P17" s="105">
        <v>38</v>
      </c>
      <c r="Q17" s="105">
        <v>19</v>
      </c>
      <c r="R17" s="103">
        <f t="shared" si="8"/>
        <v>95</v>
      </c>
      <c r="S17" s="103">
        <f t="shared" si="9"/>
        <v>38</v>
      </c>
      <c r="T17" s="103">
        <f t="shared" si="10"/>
        <v>57</v>
      </c>
      <c r="U17" s="103">
        <f t="shared" si="27"/>
        <v>38</v>
      </c>
      <c r="V17" s="103">
        <f t="shared" si="6"/>
        <v>19</v>
      </c>
      <c r="W17" s="103"/>
      <c r="X17" s="101"/>
      <c r="Y17" s="103"/>
      <c r="Z17" s="101"/>
      <c r="AA17" s="101"/>
      <c r="AB17" s="103"/>
      <c r="AC17" s="101"/>
      <c r="AD17" s="103"/>
      <c r="AE17" s="101"/>
      <c r="AF17" s="101"/>
      <c r="AG17" s="103"/>
      <c r="AH17" s="101"/>
      <c r="AI17" s="103"/>
      <c r="AJ17" s="101"/>
      <c r="AK17" s="101"/>
      <c r="AL17" s="42"/>
      <c r="AM17" s="42"/>
      <c r="AN17" s="42"/>
      <c r="AO17" s="103"/>
      <c r="AP17" s="103"/>
      <c r="AQ17" s="103"/>
      <c r="AR17" s="152">
        <v>92</v>
      </c>
      <c r="AS17" s="153">
        <f t="shared" si="4"/>
        <v>96.84210526315789</v>
      </c>
    </row>
    <row r="18" spans="1:45" s="30" customFormat="1" ht="16.5" x14ac:dyDescent="0.25">
      <c r="A18" s="5" t="s">
        <v>3</v>
      </c>
      <c r="B18" s="133" t="s">
        <v>114</v>
      </c>
      <c r="C18" s="101">
        <f>SUM(C19:C22)</f>
        <v>93.985000000000014</v>
      </c>
      <c r="D18" s="101">
        <f t="shared" ref="D18:AR18" si="29">SUM(D19:D22)</f>
        <v>37.594000000000001</v>
      </c>
      <c r="E18" s="101">
        <f t="shared" si="29"/>
        <v>56.391000000000005</v>
      </c>
      <c r="F18" s="101">
        <f t="shared" si="29"/>
        <v>37.594000000000001</v>
      </c>
      <c r="G18" s="101">
        <f t="shared" si="29"/>
        <v>18.797000000000001</v>
      </c>
      <c r="H18" s="101">
        <f t="shared" si="29"/>
        <v>180.166</v>
      </c>
      <c r="I18" s="101">
        <f t="shared" si="29"/>
        <v>101.70499999999998</v>
      </c>
      <c r="J18" s="101">
        <f t="shared" si="29"/>
        <v>78.461000000000013</v>
      </c>
      <c r="K18" s="101">
        <f t="shared" si="29"/>
        <v>56.673999999999999</v>
      </c>
      <c r="L18" s="101">
        <f t="shared" si="29"/>
        <v>21.787000000000003</v>
      </c>
      <c r="M18" s="101">
        <f t="shared" si="29"/>
        <v>4203.63</v>
      </c>
      <c r="N18" s="101">
        <f t="shared" si="29"/>
        <v>1681.452</v>
      </c>
      <c r="O18" s="101">
        <f t="shared" si="29"/>
        <v>2522.1780000000003</v>
      </c>
      <c r="P18" s="101">
        <f t="shared" si="29"/>
        <v>1709.452</v>
      </c>
      <c r="Q18" s="101">
        <f t="shared" si="29"/>
        <v>812.726</v>
      </c>
      <c r="R18" s="101">
        <f t="shared" ref="R18" si="30">SUM(R19:R22)</f>
        <v>4477.7809999999999</v>
      </c>
      <c r="S18" s="101">
        <f t="shared" ref="S18" si="31">SUM(S19:S22)</f>
        <v>1820.751</v>
      </c>
      <c r="T18" s="101">
        <f t="shared" ref="T18" si="32">SUM(T19:T22)</f>
        <v>2657.03</v>
      </c>
      <c r="U18" s="101">
        <f t="shared" ref="U18" si="33">SUM(U19:U22)</f>
        <v>1803.72</v>
      </c>
      <c r="V18" s="101">
        <f t="shared" ref="V18" si="34">SUM(V19:V22)</f>
        <v>853.31000000000006</v>
      </c>
      <c r="W18" s="101">
        <f t="shared" si="29"/>
        <v>166.95600000000002</v>
      </c>
      <c r="X18" s="101">
        <f t="shared" si="29"/>
        <v>78.320999999999998</v>
      </c>
      <c r="Y18" s="101">
        <f t="shared" si="29"/>
        <v>88.635000000000019</v>
      </c>
      <c r="Z18" s="101">
        <f t="shared" si="29"/>
        <v>59.09</v>
      </c>
      <c r="AA18" s="101">
        <f t="shared" si="29"/>
        <v>29.545000000000002</v>
      </c>
      <c r="AB18" s="101">
        <f t="shared" si="29"/>
        <v>107.19499999999999</v>
      </c>
      <c r="AC18" s="101">
        <f t="shared" si="29"/>
        <v>60.977999999999994</v>
      </c>
      <c r="AD18" s="101">
        <f t="shared" si="29"/>
        <v>46.216999999999999</v>
      </c>
      <c r="AE18" s="101">
        <f t="shared" si="29"/>
        <v>35.177999999999997</v>
      </c>
      <c r="AF18" s="101">
        <f t="shared" si="29"/>
        <v>11.039</v>
      </c>
      <c r="AG18" s="101">
        <f>SUM(AG19:AG22)</f>
        <v>1091.7860000000001</v>
      </c>
      <c r="AH18" s="101">
        <f t="shared" si="29"/>
        <v>733</v>
      </c>
      <c r="AI18" s="101">
        <f t="shared" si="29"/>
        <v>358.786</v>
      </c>
      <c r="AJ18" s="101">
        <f t="shared" si="29"/>
        <v>280.529</v>
      </c>
      <c r="AK18" s="101">
        <f t="shared" si="29"/>
        <v>78.257000000000005</v>
      </c>
      <c r="AL18" s="56">
        <f>SUM(AL19:AL22)</f>
        <v>1287.7139999999999</v>
      </c>
      <c r="AM18" s="56">
        <f t="shared" si="29"/>
        <v>831.29899999999998</v>
      </c>
      <c r="AN18" s="56">
        <f t="shared" si="29"/>
        <v>456.41500000000008</v>
      </c>
      <c r="AO18" s="101">
        <f t="shared" si="29"/>
        <v>337.57400000000007</v>
      </c>
      <c r="AP18" s="101">
        <f t="shared" si="29"/>
        <v>118.84099999999999</v>
      </c>
      <c r="AQ18" s="110">
        <f t="shared" si="22"/>
        <v>28.757860199058417</v>
      </c>
      <c r="AR18" s="101">
        <f t="shared" si="29"/>
        <v>1902</v>
      </c>
      <c r="AS18" s="150">
        <f t="shared" si="4"/>
        <v>42.476396232866236</v>
      </c>
    </row>
    <row r="19" spans="1:45" s="30" customFormat="1" ht="78.75" x14ac:dyDescent="0.25">
      <c r="A19" s="8">
        <v>1</v>
      </c>
      <c r="B19" s="116" t="s">
        <v>147</v>
      </c>
      <c r="C19" s="103">
        <f>D19+E19</f>
        <v>93.985000000000014</v>
      </c>
      <c r="D19" s="103">
        <v>37.594000000000001</v>
      </c>
      <c r="E19" s="103">
        <f>F19+G19</f>
        <v>56.391000000000005</v>
      </c>
      <c r="F19" s="103">
        <v>37.594000000000001</v>
      </c>
      <c r="G19" s="103">
        <v>18.797000000000001</v>
      </c>
      <c r="H19" s="103">
        <f>I19+J19</f>
        <v>107.19499999999999</v>
      </c>
      <c r="I19" s="103">
        <f>46.9+14.078</f>
        <v>60.977999999999994</v>
      </c>
      <c r="J19" s="103">
        <f>K19+L19</f>
        <v>46.216999999999999</v>
      </c>
      <c r="K19" s="103">
        <f>21.1+14.078</f>
        <v>35.177999999999997</v>
      </c>
      <c r="L19" s="103">
        <f>10+1.039</f>
        <v>11.039</v>
      </c>
      <c r="M19" s="103">
        <f>N19+O19</f>
        <v>1600.82</v>
      </c>
      <c r="N19" s="105">
        <f>500+140.328</f>
        <v>640.32799999999997</v>
      </c>
      <c r="O19" s="105">
        <f>P19+Q19</f>
        <v>960.49199999999996</v>
      </c>
      <c r="P19" s="105">
        <f>525+143.328</f>
        <v>668.32799999999997</v>
      </c>
      <c r="Q19" s="105">
        <f>225+67.164</f>
        <v>292.16399999999999</v>
      </c>
      <c r="R19" s="103">
        <f t="shared" si="8"/>
        <v>1802</v>
      </c>
      <c r="S19" s="103">
        <f t="shared" si="9"/>
        <v>738.9</v>
      </c>
      <c r="T19" s="103">
        <f t="shared" si="10"/>
        <v>1063.0999999999999</v>
      </c>
      <c r="U19" s="103">
        <f t="shared" si="6"/>
        <v>741.09999999999991</v>
      </c>
      <c r="V19" s="103">
        <f t="shared" si="6"/>
        <v>322</v>
      </c>
      <c r="W19" s="103">
        <f>X19+Y19</f>
        <v>93.985000000000014</v>
      </c>
      <c r="X19" s="103">
        <v>37.594000000000001</v>
      </c>
      <c r="Y19" s="103">
        <f>Z19+AA19</f>
        <v>56.391000000000005</v>
      </c>
      <c r="Z19" s="103">
        <v>37.594000000000001</v>
      </c>
      <c r="AA19" s="103">
        <v>18.797000000000001</v>
      </c>
      <c r="AB19" s="103">
        <f>AC19+AD19</f>
        <v>107.19499999999999</v>
      </c>
      <c r="AC19" s="103">
        <f>46.9+14.078</f>
        <v>60.977999999999994</v>
      </c>
      <c r="AD19" s="103">
        <f>AE19+AF19</f>
        <v>46.216999999999999</v>
      </c>
      <c r="AE19" s="103">
        <f>21.1+14.078</f>
        <v>35.177999999999997</v>
      </c>
      <c r="AF19" s="103">
        <f>10+1.039</f>
        <v>11.039</v>
      </c>
      <c r="AG19" s="103">
        <f t="shared" si="15"/>
        <v>961.56299999999999</v>
      </c>
      <c r="AH19" s="101">
        <v>640</v>
      </c>
      <c r="AI19" s="103">
        <f t="shared" si="16"/>
        <v>321.56299999999999</v>
      </c>
      <c r="AJ19" s="101">
        <v>243.30600000000001</v>
      </c>
      <c r="AK19" s="101">
        <v>78.257000000000005</v>
      </c>
      <c r="AL19" s="42">
        <f>AM19+AN19</f>
        <v>1162.7429999999999</v>
      </c>
      <c r="AM19" s="42">
        <f>AH19+AC19+X19</f>
        <v>738.572</v>
      </c>
      <c r="AN19" s="42">
        <f>AO19+AP19</f>
        <v>424.17100000000005</v>
      </c>
      <c r="AO19" s="103">
        <f t="shared" si="20"/>
        <v>316.07800000000003</v>
      </c>
      <c r="AP19" s="103">
        <f t="shared" si="21"/>
        <v>108.093</v>
      </c>
      <c r="AQ19" s="103">
        <f t="shared" si="22"/>
        <v>64.525138734739173</v>
      </c>
      <c r="AR19" s="152">
        <v>600</v>
      </c>
      <c r="AS19" s="153">
        <f t="shared" si="4"/>
        <v>33.296337402885683</v>
      </c>
    </row>
    <row r="20" spans="1:45" s="30" customFormat="1" ht="126" x14ac:dyDescent="0.25">
      <c r="A20" s="8">
        <v>2</v>
      </c>
      <c r="B20" s="116" t="s">
        <v>149</v>
      </c>
      <c r="C20" s="101"/>
      <c r="D20" s="101"/>
      <c r="E20" s="101"/>
      <c r="F20" s="101"/>
      <c r="G20" s="101"/>
      <c r="H20" s="103">
        <f t="shared" ref="H20:H21" si="35">I20+J20</f>
        <v>57.691000000000003</v>
      </c>
      <c r="I20" s="103">
        <v>34.615000000000002</v>
      </c>
      <c r="J20" s="103">
        <f>K20+L20</f>
        <v>23.076000000000001</v>
      </c>
      <c r="K20" s="103">
        <v>15.384</v>
      </c>
      <c r="L20" s="103">
        <v>7.6920000000000002</v>
      </c>
      <c r="M20" s="103">
        <f>N20+O20</f>
        <v>1500</v>
      </c>
      <c r="N20" s="105">
        <v>600</v>
      </c>
      <c r="O20" s="105">
        <f>P20+Q20</f>
        <v>900</v>
      </c>
      <c r="P20" s="105">
        <v>600</v>
      </c>
      <c r="Q20" s="105">
        <v>300</v>
      </c>
      <c r="R20" s="103">
        <f t="shared" si="8"/>
        <v>1557.691</v>
      </c>
      <c r="S20" s="103">
        <f t="shared" si="9"/>
        <v>634.61500000000001</v>
      </c>
      <c r="T20" s="103">
        <f t="shared" si="10"/>
        <v>923.07600000000002</v>
      </c>
      <c r="U20" s="103">
        <f t="shared" si="6"/>
        <v>615.38400000000001</v>
      </c>
      <c r="V20" s="103">
        <f t="shared" si="6"/>
        <v>307.69200000000001</v>
      </c>
      <c r="W20" s="103">
        <v>57.691000000000003</v>
      </c>
      <c r="X20" s="103">
        <v>34.615000000000002</v>
      </c>
      <c r="Y20" s="103">
        <v>23.076000000000001</v>
      </c>
      <c r="Z20" s="103">
        <v>15.384</v>
      </c>
      <c r="AA20" s="103">
        <v>7.6920000000000002</v>
      </c>
      <c r="AB20" s="103">
        <f t="shared" si="13"/>
        <v>0</v>
      </c>
      <c r="AC20" s="101"/>
      <c r="AD20" s="103">
        <f t="shared" si="14"/>
        <v>0</v>
      </c>
      <c r="AE20" s="101"/>
      <c r="AF20" s="101"/>
      <c r="AG20" s="103">
        <f t="shared" si="15"/>
        <v>52</v>
      </c>
      <c r="AH20" s="103">
        <v>52</v>
      </c>
      <c r="AI20" s="103">
        <f t="shared" si="16"/>
        <v>0</v>
      </c>
      <c r="AJ20" s="101"/>
      <c r="AK20" s="101"/>
      <c r="AL20" s="42">
        <f t="shared" si="17"/>
        <v>109.691</v>
      </c>
      <c r="AM20" s="42">
        <f t="shared" si="18"/>
        <v>86.615000000000009</v>
      </c>
      <c r="AN20" s="42">
        <f t="shared" si="19"/>
        <v>23.076000000000001</v>
      </c>
      <c r="AO20" s="103">
        <f t="shared" si="20"/>
        <v>15.384</v>
      </c>
      <c r="AP20" s="103">
        <f t="shared" si="21"/>
        <v>7.6920000000000002</v>
      </c>
      <c r="AQ20" s="103">
        <f t="shared" si="22"/>
        <v>7.0418972697409181</v>
      </c>
      <c r="AR20" s="152">
        <v>1200</v>
      </c>
      <c r="AS20" s="153">
        <f t="shared" si="4"/>
        <v>77.037101710159462</v>
      </c>
    </row>
    <row r="21" spans="1:45" s="30" customFormat="1" ht="126" x14ac:dyDescent="0.25">
      <c r="A21" s="8">
        <v>3</v>
      </c>
      <c r="B21" s="116" t="s">
        <v>148</v>
      </c>
      <c r="C21" s="101"/>
      <c r="D21" s="101"/>
      <c r="E21" s="101"/>
      <c r="F21" s="101"/>
      <c r="G21" s="101"/>
      <c r="H21" s="103">
        <f t="shared" si="35"/>
        <v>15.28</v>
      </c>
      <c r="I21" s="103">
        <v>6.1120000000000001</v>
      </c>
      <c r="J21" s="103">
        <f>K21+L21</f>
        <v>9.1679999999999993</v>
      </c>
      <c r="K21" s="103">
        <v>6.1120000000000001</v>
      </c>
      <c r="L21" s="103">
        <v>3.056</v>
      </c>
      <c r="M21" s="103">
        <f>N21+O21</f>
        <v>1000</v>
      </c>
      <c r="N21" s="105">
        <v>400</v>
      </c>
      <c r="O21" s="105">
        <f t="shared" ref="O21:O22" si="36">P21+Q21</f>
        <v>600</v>
      </c>
      <c r="P21" s="105">
        <v>400</v>
      </c>
      <c r="Q21" s="105">
        <v>200</v>
      </c>
      <c r="R21" s="103">
        <f t="shared" si="8"/>
        <v>1015.28</v>
      </c>
      <c r="S21" s="103">
        <f t="shared" si="9"/>
        <v>406.11200000000002</v>
      </c>
      <c r="T21" s="103">
        <f t="shared" si="10"/>
        <v>609.16800000000001</v>
      </c>
      <c r="U21" s="103">
        <f t="shared" si="6"/>
        <v>406.11200000000002</v>
      </c>
      <c r="V21" s="103">
        <f t="shared" si="6"/>
        <v>203.05600000000001</v>
      </c>
      <c r="W21" s="103">
        <v>15.28</v>
      </c>
      <c r="X21" s="103">
        <v>6.1120000000000001</v>
      </c>
      <c r="Y21" s="103">
        <v>9.1679999999999993</v>
      </c>
      <c r="Z21" s="103">
        <v>6.1120000000000001</v>
      </c>
      <c r="AA21" s="103">
        <v>3.056</v>
      </c>
      <c r="AB21" s="103">
        <f t="shared" si="13"/>
        <v>0</v>
      </c>
      <c r="AC21" s="101"/>
      <c r="AD21" s="103">
        <f t="shared" si="14"/>
        <v>0</v>
      </c>
      <c r="AE21" s="101"/>
      <c r="AF21" s="101"/>
      <c r="AG21" s="103">
        <f t="shared" si="15"/>
        <v>0</v>
      </c>
      <c r="AH21" s="101"/>
      <c r="AI21" s="103">
        <f t="shared" si="16"/>
        <v>0</v>
      </c>
      <c r="AJ21" s="101"/>
      <c r="AK21" s="101"/>
      <c r="AL21" s="42">
        <f t="shared" si="17"/>
        <v>15.28</v>
      </c>
      <c r="AM21" s="42">
        <f t="shared" si="18"/>
        <v>6.1120000000000001</v>
      </c>
      <c r="AN21" s="42">
        <f t="shared" si="19"/>
        <v>9.1679999999999993</v>
      </c>
      <c r="AO21" s="103">
        <f t="shared" si="20"/>
        <v>6.1120000000000001</v>
      </c>
      <c r="AP21" s="103">
        <f t="shared" si="21"/>
        <v>3.056</v>
      </c>
      <c r="AQ21" s="103">
        <f t="shared" si="22"/>
        <v>1.5050035458198723</v>
      </c>
      <c r="AR21" s="154"/>
      <c r="AS21" s="153">
        <f t="shared" si="4"/>
        <v>0</v>
      </c>
    </row>
    <row r="22" spans="1:45" s="30" customFormat="1" ht="94.5" x14ac:dyDescent="0.25">
      <c r="A22" s="8">
        <v>4</v>
      </c>
      <c r="B22" s="116" t="s">
        <v>171</v>
      </c>
      <c r="C22" s="101"/>
      <c r="D22" s="101"/>
      <c r="E22" s="101"/>
      <c r="F22" s="101"/>
      <c r="G22" s="101"/>
      <c r="H22" s="101"/>
      <c r="I22" s="101"/>
      <c r="J22" s="101"/>
      <c r="K22" s="101"/>
      <c r="L22" s="101"/>
      <c r="M22" s="103">
        <f>N22+O22</f>
        <v>102.81</v>
      </c>
      <c r="N22" s="105">
        <v>41.124000000000002</v>
      </c>
      <c r="O22" s="105">
        <f t="shared" si="36"/>
        <v>61.686000000000007</v>
      </c>
      <c r="P22" s="105">
        <v>41.124000000000002</v>
      </c>
      <c r="Q22" s="105">
        <v>20.562000000000001</v>
      </c>
      <c r="R22" s="103">
        <f t="shared" si="8"/>
        <v>102.81</v>
      </c>
      <c r="S22" s="103">
        <f t="shared" si="9"/>
        <v>41.124000000000002</v>
      </c>
      <c r="T22" s="103">
        <f t="shared" si="10"/>
        <v>61.686000000000007</v>
      </c>
      <c r="U22" s="103">
        <f t="shared" si="6"/>
        <v>41.124000000000002</v>
      </c>
      <c r="V22" s="103">
        <f t="shared" si="6"/>
        <v>20.562000000000001</v>
      </c>
      <c r="W22" s="103"/>
      <c r="X22" s="101"/>
      <c r="Y22" s="103"/>
      <c r="Z22" s="101"/>
      <c r="AA22" s="101"/>
      <c r="AB22" s="103"/>
      <c r="AC22" s="101"/>
      <c r="AD22" s="103"/>
      <c r="AE22" s="101"/>
      <c r="AF22" s="101"/>
      <c r="AG22" s="103">
        <f>AH22+AI22</f>
        <v>78.222999999999999</v>
      </c>
      <c r="AH22" s="101">
        <v>41</v>
      </c>
      <c r="AI22" s="103">
        <f t="shared" si="16"/>
        <v>37.222999999999999</v>
      </c>
      <c r="AJ22" s="101">
        <v>37.222999999999999</v>
      </c>
      <c r="AK22" s="101"/>
      <c r="AL22" s="42"/>
      <c r="AM22" s="42"/>
      <c r="AN22" s="42"/>
      <c r="AO22" s="103"/>
      <c r="AP22" s="103"/>
      <c r="AQ22" s="103">
        <f t="shared" si="22"/>
        <v>0</v>
      </c>
      <c r="AR22" s="152">
        <v>102</v>
      </c>
      <c r="AS22" s="153">
        <f t="shared" si="4"/>
        <v>99.212138896994446</v>
      </c>
    </row>
    <row r="23" spans="1:45" s="30" customFormat="1" x14ac:dyDescent="0.25">
      <c r="A23" s="5" t="s">
        <v>4</v>
      </c>
      <c r="B23" s="128" t="s">
        <v>150</v>
      </c>
      <c r="C23" s="101">
        <f>SUM(C24:C28)</f>
        <v>0</v>
      </c>
      <c r="D23" s="101">
        <f t="shared" ref="D23:AR23" si="37">SUM(D24:D28)</f>
        <v>0</v>
      </c>
      <c r="E23" s="101">
        <f t="shared" si="37"/>
        <v>0</v>
      </c>
      <c r="F23" s="101">
        <f t="shared" si="37"/>
        <v>0</v>
      </c>
      <c r="G23" s="101">
        <f t="shared" si="37"/>
        <v>0</v>
      </c>
      <c r="H23" s="101">
        <f t="shared" si="37"/>
        <v>1200</v>
      </c>
      <c r="I23" s="101">
        <f t="shared" si="37"/>
        <v>480</v>
      </c>
      <c r="J23" s="101">
        <f t="shared" si="37"/>
        <v>720</v>
      </c>
      <c r="K23" s="101">
        <f t="shared" si="37"/>
        <v>504</v>
      </c>
      <c r="L23" s="101">
        <f t="shared" si="37"/>
        <v>216</v>
      </c>
      <c r="M23" s="101">
        <f t="shared" si="37"/>
        <v>2450</v>
      </c>
      <c r="N23" s="101">
        <f t="shared" si="37"/>
        <v>980</v>
      </c>
      <c r="O23" s="101">
        <f t="shared" si="37"/>
        <v>1470</v>
      </c>
      <c r="P23" s="101">
        <f t="shared" si="37"/>
        <v>1000</v>
      </c>
      <c r="Q23" s="101">
        <f t="shared" si="37"/>
        <v>470</v>
      </c>
      <c r="R23" s="101">
        <f t="shared" si="37"/>
        <v>3650</v>
      </c>
      <c r="S23" s="101">
        <f t="shared" si="37"/>
        <v>1460</v>
      </c>
      <c r="T23" s="101">
        <f t="shared" si="37"/>
        <v>2190</v>
      </c>
      <c r="U23" s="101">
        <f t="shared" si="37"/>
        <v>1504</v>
      </c>
      <c r="V23" s="101">
        <f t="shared" si="37"/>
        <v>686</v>
      </c>
      <c r="W23" s="101">
        <f t="shared" si="37"/>
        <v>0</v>
      </c>
      <c r="X23" s="101">
        <f t="shared" si="37"/>
        <v>0</v>
      </c>
      <c r="Y23" s="101">
        <f t="shared" si="37"/>
        <v>0</v>
      </c>
      <c r="Z23" s="101">
        <f t="shared" si="37"/>
        <v>0</v>
      </c>
      <c r="AA23" s="101">
        <f t="shared" si="37"/>
        <v>0</v>
      </c>
      <c r="AB23" s="101">
        <f t="shared" si="37"/>
        <v>1155.633</v>
      </c>
      <c r="AC23" s="101">
        <f t="shared" si="37"/>
        <v>468</v>
      </c>
      <c r="AD23" s="101">
        <f t="shared" si="37"/>
        <v>687.63300000000004</v>
      </c>
      <c r="AE23" s="101">
        <f t="shared" si="37"/>
        <v>482.63300000000004</v>
      </c>
      <c r="AF23" s="101">
        <f t="shared" si="37"/>
        <v>205</v>
      </c>
      <c r="AG23" s="101">
        <f t="shared" si="37"/>
        <v>0</v>
      </c>
      <c r="AH23" s="101">
        <f t="shared" si="37"/>
        <v>0</v>
      </c>
      <c r="AI23" s="101">
        <f t="shared" si="37"/>
        <v>0</v>
      </c>
      <c r="AJ23" s="101">
        <f t="shared" si="37"/>
        <v>0</v>
      </c>
      <c r="AK23" s="101">
        <f t="shared" si="37"/>
        <v>0</v>
      </c>
      <c r="AL23" s="56">
        <f t="shared" si="37"/>
        <v>1155.633</v>
      </c>
      <c r="AM23" s="56">
        <f t="shared" si="37"/>
        <v>468</v>
      </c>
      <c r="AN23" s="56">
        <f t="shared" si="37"/>
        <v>687.63300000000004</v>
      </c>
      <c r="AO23" s="101">
        <f t="shared" si="37"/>
        <v>482.63300000000004</v>
      </c>
      <c r="AP23" s="101">
        <f t="shared" si="37"/>
        <v>205</v>
      </c>
      <c r="AQ23" s="101">
        <f t="shared" si="22"/>
        <v>31.661178082191782</v>
      </c>
      <c r="AR23" s="101">
        <f t="shared" si="37"/>
        <v>1200</v>
      </c>
      <c r="AS23" s="150">
        <f t="shared" si="4"/>
        <v>32.87671232876712</v>
      </c>
    </row>
    <row r="24" spans="1:45" s="30" customFormat="1" ht="94.5" x14ac:dyDescent="0.25">
      <c r="A24" s="8">
        <v>1</v>
      </c>
      <c r="B24" s="116" t="s">
        <v>151</v>
      </c>
      <c r="C24" s="101"/>
      <c r="D24" s="101"/>
      <c r="E24" s="101"/>
      <c r="F24" s="101"/>
      <c r="G24" s="101"/>
      <c r="H24" s="101"/>
      <c r="I24" s="101"/>
      <c r="J24" s="101"/>
      <c r="K24" s="101"/>
      <c r="L24" s="101"/>
      <c r="M24" s="103">
        <f>N24+O24</f>
        <v>1000</v>
      </c>
      <c r="N24" s="105">
        <v>400</v>
      </c>
      <c r="O24" s="105">
        <v>600</v>
      </c>
      <c r="P24" s="105">
        <v>420</v>
      </c>
      <c r="Q24" s="105">
        <v>180</v>
      </c>
      <c r="R24" s="103">
        <f t="shared" si="8"/>
        <v>1000</v>
      </c>
      <c r="S24" s="103">
        <f t="shared" si="9"/>
        <v>400</v>
      </c>
      <c r="T24" s="103">
        <f t="shared" si="10"/>
        <v>600</v>
      </c>
      <c r="U24" s="103">
        <f t="shared" si="6"/>
        <v>420</v>
      </c>
      <c r="V24" s="103">
        <f t="shared" si="6"/>
        <v>180</v>
      </c>
      <c r="W24" s="103">
        <f t="shared" si="11"/>
        <v>0</v>
      </c>
      <c r="X24" s="101"/>
      <c r="Y24" s="103">
        <f t="shared" si="12"/>
        <v>0</v>
      </c>
      <c r="Z24" s="101"/>
      <c r="AA24" s="101"/>
      <c r="AB24" s="103">
        <f t="shared" si="13"/>
        <v>0</v>
      </c>
      <c r="AC24" s="101"/>
      <c r="AD24" s="103">
        <f t="shared" si="14"/>
        <v>0</v>
      </c>
      <c r="AE24" s="101"/>
      <c r="AF24" s="101"/>
      <c r="AG24" s="103">
        <f t="shared" si="15"/>
        <v>0</v>
      </c>
      <c r="AH24" s="101"/>
      <c r="AI24" s="103">
        <f t="shared" si="16"/>
        <v>0</v>
      </c>
      <c r="AJ24" s="101"/>
      <c r="AK24" s="101"/>
      <c r="AL24" s="42">
        <f t="shared" si="17"/>
        <v>0</v>
      </c>
      <c r="AM24" s="42">
        <f t="shared" si="18"/>
        <v>0</v>
      </c>
      <c r="AN24" s="42">
        <f t="shared" si="19"/>
        <v>0</v>
      </c>
      <c r="AO24" s="103">
        <f t="shared" si="20"/>
        <v>0</v>
      </c>
      <c r="AP24" s="103">
        <f t="shared" si="21"/>
        <v>0</v>
      </c>
      <c r="AQ24" s="103">
        <f t="shared" si="22"/>
        <v>0</v>
      </c>
      <c r="AR24" s="154"/>
      <c r="AS24" s="153">
        <f t="shared" si="4"/>
        <v>0</v>
      </c>
    </row>
    <row r="25" spans="1:45" s="30" customFormat="1" ht="126" x14ac:dyDescent="0.25">
      <c r="A25" s="8">
        <v>2</v>
      </c>
      <c r="B25" s="116" t="s">
        <v>157</v>
      </c>
      <c r="C25" s="101"/>
      <c r="D25" s="101"/>
      <c r="E25" s="101"/>
      <c r="F25" s="101"/>
      <c r="G25" s="101"/>
      <c r="H25" s="103">
        <f>I25+J25</f>
        <v>900</v>
      </c>
      <c r="I25" s="103">
        <v>360</v>
      </c>
      <c r="J25" s="103">
        <v>540</v>
      </c>
      <c r="K25" s="103">
        <v>378</v>
      </c>
      <c r="L25" s="103">
        <v>162</v>
      </c>
      <c r="M25" s="103"/>
      <c r="N25" s="105"/>
      <c r="O25" s="105"/>
      <c r="P25" s="105"/>
      <c r="Q25" s="105"/>
      <c r="R25" s="103">
        <f t="shared" si="8"/>
        <v>900</v>
      </c>
      <c r="S25" s="103">
        <f t="shared" si="9"/>
        <v>360</v>
      </c>
      <c r="T25" s="103">
        <f t="shared" si="10"/>
        <v>540</v>
      </c>
      <c r="U25" s="103">
        <f t="shared" si="6"/>
        <v>378</v>
      </c>
      <c r="V25" s="103">
        <f t="shared" si="6"/>
        <v>162</v>
      </c>
      <c r="W25" s="103">
        <f t="shared" si="11"/>
        <v>0</v>
      </c>
      <c r="X25" s="103"/>
      <c r="Y25" s="103">
        <f t="shared" si="12"/>
        <v>0</v>
      </c>
      <c r="Z25" s="103"/>
      <c r="AA25" s="103"/>
      <c r="AB25" s="103">
        <f t="shared" si="13"/>
        <v>882.68000000000006</v>
      </c>
      <c r="AC25" s="103">
        <v>360</v>
      </c>
      <c r="AD25" s="103">
        <f>AE25+AF25</f>
        <v>522.68000000000006</v>
      </c>
      <c r="AE25" s="103">
        <f>360+7.68</f>
        <v>367.68</v>
      </c>
      <c r="AF25" s="103">
        <v>155</v>
      </c>
      <c r="AG25" s="103">
        <f t="shared" si="15"/>
        <v>0</v>
      </c>
      <c r="AH25" s="101"/>
      <c r="AI25" s="103">
        <f t="shared" si="16"/>
        <v>0</v>
      </c>
      <c r="AJ25" s="101"/>
      <c r="AK25" s="101"/>
      <c r="AL25" s="42">
        <f t="shared" si="17"/>
        <v>882.68000000000006</v>
      </c>
      <c r="AM25" s="42">
        <f t="shared" si="18"/>
        <v>360</v>
      </c>
      <c r="AN25" s="42">
        <f t="shared" si="19"/>
        <v>522.68000000000006</v>
      </c>
      <c r="AO25" s="103">
        <f t="shared" si="20"/>
        <v>367.68</v>
      </c>
      <c r="AP25" s="103">
        <f t="shared" si="21"/>
        <v>155</v>
      </c>
      <c r="AQ25" s="103">
        <f t="shared" si="22"/>
        <v>98.075555555555553</v>
      </c>
      <c r="AR25" s="152">
        <v>900</v>
      </c>
      <c r="AS25" s="153">
        <f t="shared" si="4"/>
        <v>100</v>
      </c>
    </row>
    <row r="26" spans="1:45" s="30" customFormat="1" ht="157.5" x14ac:dyDescent="0.25">
      <c r="A26" s="8">
        <v>3</v>
      </c>
      <c r="B26" s="116" t="s">
        <v>152</v>
      </c>
      <c r="C26" s="101"/>
      <c r="D26" s="101"/>
      <c r="E26" s="101"/>
      <c r="F26" s="101"/>
      <c r="G26" s="101"/>
      <c r="H26" s="101"/>
      <c r="I26" s="101"/>
      <c r="J26" s="101"/>
      <c r="K26" s="101"/>
      <c r="L26" s="101"/>
      <c r="M26" s="103">
        <f>N26+O26</f>
        <v>1250</v>
      </c>
      <c r="N26" s="105">
        <v>500</v>
      </c>
      <c r="O26" s="105">
        <v>750</v>
      </c>
      <c r="P26" s="105">
        <v>500</v>
      </c>
      <c r="Q26" s="105">
        <v>250</v>
      </c>
      <c r="R26" s="103">
        <f t="shared" si="8"/>
        <v>1250</v>
      </c>
      <c r="S26" s="103">
        <f t="shared" si="9"/>
        <v>500</v>
      </c>
      <c r="T26" s="103">
        <f t="shared" si="10"/>
        <v>750</v>
      </c>
      <c r="U26" s="103">
        <f t="shared" si="6"/>
        <v>500</v>
      </c>
      <c r="V26" s="103">
        <f t="shared" si="6"/>
        <v>250</v>
      </c>
      <c r="W26" s="103">
        <f t="shared" si="11"/>
        <v>0</v>
      </c>
      <c r="X26" s="101"/>
      <c r="Y26" s="103">
        <f t="shared" si="12"/>
        <v>0</v>
      </c>
      <c r="Z26" s="101"/>
      <c r="AA26" s="101"/>
      <c r="AB26" s="103">
        <f t="shared" si="13"/>
        <v>0</v>
      </c>
      <c r="AC26" s="101"/>
      <c r="AD26" s="103">
        <f t="shared" si="14"/>
        <v>0</v>
      </c>
      <c r="AE26" s="101"/>
      <c r="AF26" s="101"/>
      <c r="AG26" s="103">
        <f t="shared" si="15"/>
        <v>0</v>
      </c>
      <c r="AH26" s="101"/>
      <c r="AI26" s="103">
        <f t="shared" si="16"/>
        <v>0</v>
      </c>
      <c r="AJ26" s="101"/>
      <c r="AK26" s="101"/>
      <c r="AL26" s="42">
        <f t="shared" si="17"/>
        <v>0</v>
      </c>
      <c r="AM26" s="42">
        <f t="shared" si="18"/>
        <v>0</v>
      </c>
      <c r="AN26" s="42">
        <f t="shared" si="19"/>
        <v>0</v>
      </c>
      <c r="AO26" s="103">
        <f t="shared" si="20"/>
        <v>0</v>
      </c>
      <c r="AP26" s="103">
        <f t="shared" si="21"/>
        <v>0</v>
      </c>
      <c r="AQ26" s="103">
        <f t="shared" si="22"/>
        <v>0</v>
      </c>
      <c r="AR26" s="154"/>
      <c r="AS26" s="153">
        <f t="shared" si="4"/>
        <v>0</v>
      </c>
    </row>
    <row r="27" spans="1:45" s="30" customFormat="1" ht="126" x14ac:dyDescent="0.25">
      <c r="A27" s="8">
        <v>4</v>
      </c>
      <c r="B27" s="116" t="s">
        <v>158</v>
      </c>
      <c r="C27" s="101"/>
      <c r="D27" s="101"/>
      <c r="E27" s="101"/>
      <c r="F27" s="101"/>
      <c r="G27" s="101"/>
      <c r="H27" s="103">
        <f>I27+J27</f>
        <v>300</v>
      </c>
      <c r="I27" s="103">
        <v>120</v>
      </c>
      <c r="J27" s="103">
        <f>K27+L27</f>
        <v>180</v>
      </c>
      <c r="K27" s="103">
        <v>126</v>
      </c>
      <c r="L27" s="103">
        <v>54</v>
      </c>
      <c r="M27" s="103"/>
      <c r="N27" s="105"/>
      <c r="O27" s="105"/>
      <c r="P27" s="105"/>
      <c r="Q27" s="105"/>
      <c r="R27" s="103">
        <f t="shared" si="8"/>
        <v>300</v>
      </c>
      <c r="S27" s="103">
        <f t="shared" si="9"/>
        <v>120</v>
      </c>
      <c r="T27" s="103">
        <f t="shared" si="10"/>
        <v>180</v>
      </c>
      <c r="U27" s="103">
        <f t="shared" ref="U27:V32" si="38">F27+K27+P27</f>
        <v>126</v>
      </c>
      <c r="V27" s="103">
        <f t="shared" si="38"/>
        <v>54</v>
      </c>
      <c r="W27" s="103">
        <f t="shared" si="11"/>
        <v>0</v>
      </c>
      <c r="X27" s="101"/>
      <c r="Y27" s="103">
        <f t="shared" si="12"/>
        <v>0</v>
      </c>
      <c r="Z27" s="101"/>
      <c r="AA27" s="101"/>
      <c r="AB27" s="103">
        <v>272.95299999999997</v>
      </c>
      <c r="AC27" s="103">
        <v>108</v>
      </c>
      <c r="AD27" s="103">
        <v>164.953</v>
      </c>
      <c r="AE27" s="103">
        <v>114.953</v>
      </c>
      <c r="AF27" s="103">
        <v>50</v>
      </c>
      <c r="AG27" s="103">
        <f t="shared" si="15"/>
        <v>0</v>
      </c>
      <c r="AH27" s="101"/>
      <c r="AI27" s="103">
        <f t="shared" si="16"/>
        <v>0</v>
      </c>
      <c r="AJ27" s="101"/>
      <c r="AK27" s="101"/>
      <c r="AL27" s="42">
        <f>AM27+AN27</f>
        <v>272.95299999999997</v>
      </c>
      <c r="AM27" s="42">
        <f t="shared" si="18"/>
        <v>108</v>
      </c>
      <c r="AN27" s="42">
        <f t="shared" si="19"/>
        <v>164.953</v>
      </c>
      <c r="AO27" s="103">
        <f t="shared" si="20"/>
        <v>114.953</v>
      </c>
      <c r="AP27" s="103">
        <f t="shared" si="21"/>
        <v>50</v>
      </c>
      <c r="AQ27" s="103">
        <f t="shared" si="22"/>
        <v>90.984333333333325</v>
      </c>
      <c r="AR27" s="152">
        <v>300</v>
      </c>
      <c r="AS27" s="153">
        <f t="shared" si="4"/>
        <v>100</v>
      </c>
    </row>
    <row r="28" spans="1:45" s="30" customFormat="1" ht="141.75" x14ac:dyDescent="0.25">
      <c r="A28" s="8">
        <v>5</v>
      </c>
      <c r="B28" s="116" t="s">
        <v>153</v>
      </c>
      <c r="C28" s="101"/>
      <c r="D28" s="101"/>
      <c r="E28" s="101"/>
      <c r="F28" s="101"/>
      <c r="G28" s="101"/>
      <c r="H28" s="101"/>
      <c r="I28" s="101"/>
      <c r="J28" s="101"/>
      <c r="K28" s="101"/>
      <c r="L28" s="101"/>
      <c r="M28" s="103">
        <f>N28+O28</f>
        <v>200</v>
      </c>
      <c r="N28" s="105">
        <v>80</v>
      </c>
      <c r="O28" s="105">
        <v>120</v>
      </c>
      <c r="P28" s="105">
        <v>80</v>
      </c>
      <c r="Q28" s="105">
        <v>40</v>
      </c>
      <c r="R28" s="103">
        <f t="shared" si="8"/>
        <v>200</v>
      </c>
      <c r="S28" s="103">
        <f t="shared" si="9"/>
        <v>80</v>
      </c>
      <c r="T28" s="103">
        <f t="shared" si="10"/>
        <v>120</v>
      </c>
      <c r="U28" s="103">
        <f t="shared" si="38"/>
        <v>80</v>
      </c>
      <c r="V28" s="103">
        <f t="shared" si="38"/>
        <v>40</v>
      </c>
      <c r="W28" s="103">
        <f t="shared" si="11"/>
        <v>0</v>
      </c>
      <c r="X28" s="101"/>
      <c r="Y28" s="103">
        <f t="shared" si="12"/>
        <v>0</v>
      </c>
      <c r="Z28" s="101"/>
      <c r="AA28" s="101"/>
      <c r="AB28" s="103">
        <f t="shared" si="13"/>
        <v>0</v>
      </c>
      <c r="AC28" s="101"/>
      <c r="AD28" s="103">
        <f t="shared" si="14"/>
        <v>0</v>
      </c>
      <c r="AE28" s="101"/>
      <c r="AF28" s="101"/>
      <c r="AG28" s="103">
        <f t="shared" si="15"/>
        <v>0</v>
      </c>
      <c r="AH28" s="101"/>
      <c r="AI28" s="103">
        <f t="shared" si="16"/>
        <v>0</v>
      </c>
      <c r="AJ28" s="101"/>
      <c r="AK28" s="101"/>
      <c r="AL28" s="42">
        <f t="shared" si="17"/>
        <v>0</v>
      </c>
      <c r="AM28" s="42">
        <f t="shared" si="18"/>
        <v>0</v>
      </c>
      <c r="AN28" s="42">
        <f t="shared" si="19"/>
        <v>0</v>
      </c>
      <c r="AO28" s="103">
        <f t="shared" si="20"/>
        <v>0</v>
      </c>
      <c r="AP28" s="103">
        <f t="shared" si="21"/>
        <v>0</v>
      </c>
      <c r="AQ28" s="103">
        <f t="shared" si="22"/>
        <v>0</v>
      </c>
      <c r="AR28" s="154"/>
      <c r="AS28" s="153">
        <f t="shared" si="4"/>
        <v>0</v>
      </c>
    </row>
    <row r="29" spans="1:45" s="30" customFormat="1" x14ac:dyDescent="0.25">
      <c r="A29" s="5" t="s">
        <v>5</v>
      </c>
      <c r="B29" s="128" t="s">
        <v>154</v>
      </c>
      <c r="C29" s="101">
        <f>C30</f>
        <v>0</v>
      </c>
      <c r="D29" s="101">
        <f t="shared" ref="D29:AR29" si="39">D30</f>
        <v>0</v>
      </c>
      <c r="E29" s="101">
        <f t="shared" si="39"/>
        <v>0</v>
      </c>
      <c r="F29" s="101">
        <f t="shared" si="39"/>
        <v>0</v>
      </c>
      <c r="G29" s="101">
        <f t="shared" si="39"/>
        <v>0</v>
      </c>
      <c r="H29" s="101">
        <f t="shared" si="39"/>
        <v>242.595</v>
      </c>
      <c r="I29" s="101">
        <f t="shared" si="39"/>
        <v>97.038000000000011</v>
      </c>
      <c r="J29" s="101">
        <f t="shared" si="39"/>
        <v>145.55699999999999</v>
      </c>
      <c r="K29" s="101">
        <f t="shared" si="39"/>
        <v>97.037999999999997</v>
      </c>
      <c r="L29" s="101">
        <f t="shared" si="39"/>
        <v>48.518999999999998</v>
      </c>
      <c r="M29" s="101">
        <f t="shared" si="39"/>
        <v>106.37</v>
      </c>
      <c r="N29" s="101">
        <f t="shared" si="39"/>
        <v>42.548000000000002</v>
      </c>
      <c r="O29" s="101">
        <f t="shared" si="39"/>
        <v>63.822000000000003</v>
      </c>
      <c r="P29" s="101">
        <f t="shared" si="39"/>
        <v>42.548000000000002</v>
      </c>
      <c r="Q29" s="101">
        <f t="shared" si="39"/>
        <v>21.274000000000001</v>
      </c>
      <c r="R29" s="101">
        <f t="shared" si="39"/>
        <v>348.96500000000003</v>
      </c>
      <c r="S29" s="101">
        <f t="shared" si="39"/>
        <v>139.58600000000001</v>
      </c>
      <c r="T29" s="101">
        <f t="shared" si="39"/>
        <v>209.37900000000002</v>
      </c>
      <c r="U29" s="101">
        <f t="shared" si="39"/>
        <v>139.58600000000001</v>
      </c>
      <c r="V29" s="101">
        <f t="shared" si="39"/>
        <v>69.793000000000006</v>
      </c>
      <c r="W29" s="101">
        <f t="shared" si="39"/>
        <v>0</v>
      </c>
      <c r="X29" s="101">
        <f t="shared" si="39"/>
        <v>0</v>
      </c>
      <c r="Y29" s="101">
        <f t="shared" si="39"/>
        <v>0</v>
      </c>
      <c r="Z29" s="101">
        <f t="shared" si="39"/>
        <v>0</v>
      </c>
      <c r="AA29" s="101">
        <f t="shared" si="39"/>
        <v>0</v>
      </c>
      <c r="AB29" s="101">
        <f t="shared" si="39"/>
        <v>44.135000000000005</v>
      </c>
      <c r="AC29" s="101">
        <f t="shared" si="39"/>
        <v>18</v>
      </c>
      <c r="AD29" s="101">
        <f t="shared" si="39"/>
        <v>26.135000000000002</v>
      </c>
      <c r="AE29" s="101">
        <f t="shared" si="39"/>
        <v>18</v>
      </c>
      <c r="AF29" s="101">
        <f t="shared" si="39"/>
        <v>8.1349999999999998</v>
      </c>
      <c r="AG29" s="101">
        <f t="shared" si="39"/>
        <v>300</v>
      </c>
      <c r="AH29" s="101">
        <f t="shared" si="39"/>
        <v>120</v>
      </c>
      <c r="AI29" s="101">
        <f t="shared" si="39"/>
        <v>180</v>
      </c>
      <c r="AJ29" s="101">
        <f t="shared" si="39"/>
        <v>120</v>
      </c>
      <c r="AK29" s="101">
        <f t="shared" si="39"/>
        <v>60</v>
      </c>
      <c r="AL29" s="56">
        <f t="shared" si="39"/>
        <v>344.13499999999999</v>
      </c>
      <c r="AM29" s="56">
        <f t="shared" si="39"/>
        <v>138</v>
      </c>
      <c r="AN29" s="56">
        <f t="shared" si="39"/>
        <v>206.13499999999999</v>
      </c>
      <c r="AO29" s="101">
        <f t="shared" si="39"/>
        <v>138</v>
      </c>
      <c r="AP29" s="101">
        <f t="shared" si="39"/>
        <v>68.135000000000005</v>
      </c>
      <c r="AQ29" s="101">
        <f t="shared" si="22"/>
        <v>98.615907039387892</v>
      </c>
      <c r="AR29" s="101">
        <f t="shared" si="39"/>
        <v>344</v>
      </c>
      <c r="AS29" s="150">
        <f t="shared" si="4"/>
        <v>98.577221211296248</v>
      </c>
    </row>
    <row r="30" spans="1:45" s="30" customFormat="1" ht="63" x14ac:dyDescent="0.25">
      <c r="A30" s="5">
        <v>1</v>
      </c>
      <c r="B30" s="116" t="s">
        <v>155</v>
      </c>
      <c r="C30" s="101"/>
      <c r="D30" s="101"/>
      <c r="E30" s="101"/>
      <c r="F30" s="101"/>
      <c r="G30" s="101"/>
      <c r="H30" s="103">
        <v>242.595</v>
      </c>
      <c r="I30" s="103">
        <v>97.038000000000011</v>
      </c>
      <c r="J30" s="103">
        <v>145.55699999999999</v>
      </c>
      <c r="K30" s="103">
        <v>97.037999999999997</v>
      </c>
      <c r="L30" s="103">
        <v>48.518999999999998</v>
      </c>
      <c r="M30" s="103">
        <f>N30+O30</f>
        <v>106.37</v>
      </c>
      <c r="N30" s="105">
        <v>42.548000000000002</v>
      </c>
      <c r="O30" s="105">
        <f>P30+Q30</f>
        <v>63.822000000000003</v>
      </c>
      <c r="P30" s="105">
        <v>42.548000000000002</v>
      </c>
      <c r="Q30" s="105">
        <v>21.274000000000001</v>
      </c>
      <c r="R30" s="103">
        <f t="shared" si="8"/>
        <v>348.96500000000003</v>
      </c>
      <c r="S30" s="103">
        <f t="shared" si="9"/>
        <v>139.58600000000001</v>
      </c>
      <c r="T30" s="103">
        <f t="shared" si="10"/>
        <v>209.37900000000002</v>
      </c>
      <c r="U30" s="103">
        <f t="shared" si="38"/>
        <v>139.58600000000001</v>
      </c>
      <c r="V30" s="103">
        <f t="shared" si="38"/>
        <v>69.793000000000006</v>
      </c>
      <c r="W30" s="103">
        <f t="shared" si="11"/>
        <v>0</v>
      </c>
      <c r="X30" s="101"/>
      <c r="Y30" s="103">
        <f t="shared" si="12"/>
        <v>0</v>
      </c>
      <c r="Z30" s="101"/>
      <c r="AA30" s="101"/>
      <c r="AB30" s="103">
        <f t="shared" si="13"/>
        <v>44.135000000000005</v>
      </c>
      <c r="AC30" s="103">
        <v>18</v>
      </c>
      <c r="AD30" s="103">
        <v>26.135000000000002</v>
      </c>
      <c r="AE30" s="103">
        <v>18</v>
      </c>
      <c r="AF30" s="103">
        <v>8.1349999999999998</v>
      </c>
      <c r="AG30" s="103">
        <f t="shared" si="15"/>
        <v>300</v>
      </c>
      <c r="AH30" s="105">
        <v>120</v>
      </c>
      <c r="AI30" s="105">
        <v>180</v>
      </c>
      <c r="AJ30" s="105">
        <v>120</v>
      </c>
      <c r="AK30" s="105">
        <v>60</v>
      </c>
      <c r="AL30" s="42">
        <f t="shared" si="17"/>
        <v>344.13499999999999</v>
      </c>
      <c r="AM30" s="42">
        <f t="shared" si="18"/>
        <v>138</v>
      </c>
      <c r="AN30" s="42">
        <f t="shared" si="19"/>
        <v>206.13499999999999</v>
      </c>
      <c r="AO30" s="103">
        <f t="shared" si="20"/>
        <v>138</v>
      </c>
      <c r="AP30" s="103">
        <f t="shared" si="21"/>
        <v>68.135000000000005</v>
      </c>
      <c r="AQ30" s="103">
        <f t="shared" si="22"/>
        <v>98.615907039387892</v>
      </c>
      <c r="AR30" s="152">
        <v>344</v>
      </c>
      <c r="AS30" s="153">
        <f t="shared" si="4"/>
        <v>98.577221211296248</v>
      </c>
    </row>
    <row r="31" spans="1:45" s="30" customFormat="1" x14ac:dyDescent="0.25">
      <c r="A31" s="5" t="s">
        <v>16</v>
      </c>
      <c r="B31" s="128" t="s">
        <v>170</v>
      </c>
      <c r="C31" s="101"/>
      <c r="D31" s="101"/>
      <c r="E31" s="101"/>
      <c r="F31" s="101"/>
      <c r="G31" s="101"/>
      <c r="H31" s="103"/>
      <c r="I31" s="103"/>
      <c r="J31" s="103"/>
      <c r="K31" s="103"/>
      <c r="L31" s="103"/>
      <c r="M31" s="101">
        <f>M32</f>
        <v>100</v>
      </c>
      <c r="N31" s="101">
        <f t="shared" ref="N31:Q31" si="40">N32</f>
        <v>40</v>
      </c>
      <c r="O31" s="101">
        <f t="shared" si="40"/>
        <v>60</v>
      </c>
      <c r="P31" s="101">
        <f t="shared" si="40"/>
        <v>40</v>
      </c>
      <c r="Q31" s="101">
        <f t="shared" si="40"/>
        <v>20</v>
      </c>
      <c r="R31" s="101">
        <f t="shared" ref="R31:AP31" si="41">R32</f>
        <v>100</v>
      </c>
      <c r="S31" s="101">
        <f t="shared" si="41"/>
        <v>40</v>
      </c>
      <c r="T31" s="101">
        <f t="shared" si="41"/>
        <v>60</v>
      </c>
      <c r="U31" s="101">
        <f t="shared" si="41"/>
        <v>40</v>
      </c>
      <c r="V31" s="101">
        <f t="shared" si="41"/>
        <v>20</v>
      </c>
      <c r="W31" s="101">
        <f t="shared" si="41"/>
        <v>0</v>
      </c>
      <c r="X31" s="101">
        <f t="shared" si="41"/>
        <v>0</v>
      </c>
      <c r="Y31" s="101">
        <f t="shared" si="41"/>
        <v>0</v>
      </c>
      <c r="Z31" s="101">
        <f t="shared" si="41"/>
        <v>0</v>
      </c>
      <c r="AA31" s="101">
        <f t="shared" si="41"/>
        <v>0</v>
      </c>
      <c r="AB31" s="101">
        <f t="shared" si="41"/>
        <v>0</v>
      </c>
      <c r="AC31" s="101">
        <f t="shared" si="41"/>
        <v>0</v>
      </c>
      <c r="AD31" s="101">
        <f t="shared" si="41"/>
        <v>0</v>
      </c>
      <c r="AE31" s="101">
        <f t="shared" si="41"/>
        <v>0</v>
      </c>
      <c r="AF31" s="101">
        <f t="shared" si="41"/>
        <v>0</v>
      </c>
      <c r="AG31" s="101">
        <f t="shared" si="41"/>
        <v>98.162000000000006</v>
      </c>
      <c r="AH31" s="101">
        <f t="shared" si="41"/>
        <v>38.161999999999999</v>
      </c>
      <c r="AI31" s="101">
        <f t="shared" si="41"/>
        <v>60</v>
      </c>
      <c r="AJ31" s="101">
        <f t="shared" si="41"/>
        <v>40</v>
      </c>
      <c r="AK31" s="101">
        <f t="shared" si="41"/>
        <v>20</v>
      </c>
      <c r="AL31" s="56">
        <f t="shared" si="41"/>
        <v>98.162000000000006</v>
      </c>
      <c r="AM31" s="56">
        <f t="shared" si="41"/>
        <v>38.161999999999999</v>
      </c>
      <c r="AN31" s="56">
        <f t="shared" si="41"/>
        <v>60</v>
      </c>
      <c r="AO31" s="101">
        <f t="shared" si="41"/>
        <v>40</v>
      </c>
      <c r="AP31" s="101">
        <f t="shared" si="41"/>
        <v>20</v>
      </c>
      <c r="AQ31" s="103">
        <f t="shared" si="22"/>
        <v>98.162000000000006</v>
      </c>
      <c r="AR31" s="154">
        <f>AR32</f>
        <v>100</v>
      </c>
      <c r="AS31" s="150">
        <f t="shared" si="4"/>
        <v>100</v>
      </c>
    </row>
    <row r="32" spans="1:45" s="30" customFormat="1" ht="173.25" x14ac:dyDescent="0.25">
      <c r="A32" s="8">
        <v>1</v>
      </c>
      <c r="B32" s="116" t="s">
        <v>172</v>
      </c>
      <c r="C32" s="101"/>
      <c r="D32" s="101"/>
      <c r="E32" s="101"/>
      <c r="F32" s="101"/>
      <c r="G32" s="101"/>
      <c r="H32" s="103"/>
      <c r="I32" s="103"/>
      <c r="J32" s="103"/>
      <c r="K32" s="103"/>
      <c r="L32" s="103"/>
      <c r="M32" s="103">
        <f>N32+O32</f>
        <v>100</v>
      </c>
      <c r="N32" s="105">
        <v>40</v>
      </c>
      <c r="O32" s="105">
        <f>P32+Q32</f>
        <v>60</v>
      </c>
      <c r="P32" s="105">
        <v>40</v>
      </c>
      <c r="Q32" s="105">
        <v>20</v>
      </c>
      <c r="R32" s="103">
        <f t="shared" si="8"/>
        <v>100</v>
      </c>
      <c r="S32" s="103">
        <f t="shared" si="9"/>
        <v>40</v>
      </c>
      <c r="T32" s="103">
        <f t="shared" si="10"/>
        <v>60</v>
      </c>
      <c r="U32" s="103">
        <f t="shared" si="38"/>
        <v>40</v>
      </c>
      <c r="V32" s="103">
        <f t="shared" si="38"/>
        <v>20</v>
      </c>
      <c r="W32" s="103"/>
      <c r="X32" s="101"/>
      <c r="Y32" s="103"/>
      <c r="Z32" s="101"/>
      <c r="AA32" s="101"/>
      <c r="AB32" s="103"/>
      <c r="AC32" s="103"/>
      <c r="AD32" s="103"/>
      <c r="AE32" s="103"/>
      <c r="AF32" s="103"/>
      <c r="AG32" s="103">
        <f>AH32+AI32</f>
        <v>98.162000000000006</v>
      </c>
      <c r="AH32" s="105">
        <v>38.161999999999999</v>
      </c>
      <c r="AI32" s="105">
        <f>AJ32+AK32</f>
        <v>60</v>
      </c>
      <c r="AJ32" s="105">
        <v>40</v>
      </c>
      <c r="AK32" s="105">
        <v>20</v>
      </c>
      <c r="AL32" s="42">
        <f t="shared" si="17"/>
        <v>98.162000000000006</v>
      </c>
      <c r="AM32" s="42">
        <f t="shared" si="18"/>
        <v>38.161999999999999</v>
      </c>
      <c r="AN32" s="42">
        <f t="shared" si="19"/>
        <v>60</v>
      </c>
      <c r="AO32" s="103">
        <f t="shared" si="20"/>
        <v>40</v>
      </c>
      <c r="AP32" s="103">
        <f t="shared" si="21"/>
        <v>20</v>
      </c>
      <c r="AQ32" s="103">
        <f>AL32/R32*100</f>
        <v>98.162000000000006</v>
      </c>
      <c r="AR32" s="152">
        <v>100</v>
      </c>
      <c r="AS32" s="153">
        <f t="shared" si="4"/>
        <v>100</v>
      </c>
    </row>
    <row r="33" spans="3:45" x14ac:dyDescent="0.25">
      <c r="C33" s="96">
        <v>660.81960000000004</v>
      </c>
      <c r="D33" s="96">
        <v>426.01260000000002</v>
      </c>
      <c r="E33" s="96">
        <v>234.80700000000002</v>
      </c>
      <c r="F33" s="96">
        <v>156.53800000000001</v>
      </c>
      <c r="G33" s="96">
        <v>78.269000000000005</v>
      </c>
      <c r="H33" s="96">
        <v>2097.1707499999993</v>
      </c>
      <c r="I33" s="96">
        <v>873.24794999999949</v>
      </c>
      <c r="J33" s="96">
        <v>1223.9227999999998</v>
      </c>
      <c r="K33" s="96">
        <v>840.3152</v>
      </c>
      <c r="L33" s="96"/>
      <c r="M33" s="96"/>
      <c r="N33" s="96"/>
      <c r="O33" s="96"/>
      <c r="P33" s="96"/>
      <c r="Q33" s="96"/>
      <c r="R33" s="96"/>
      <c r="S33" s="96"/>
      <c r="T33" s="96"/>
      <c r="U33" s="96"/>
      <c r="V33" s="96"/>
      <c r="AR33" s="75"/>
      <c r="AS33" s="153"/>
    </row>
    <row r="34" spans="3:45" x14ac:dyDescent="0.25">
      <c r="C34" s="96">
        <f t="shared" ref="C34:K34" si="42">C8-C33</f>
        <v>-252.12860000000001</v>
      </c>
      <c r="D34" s="96">
        <f t="shared" si="42"/>
        <v>-252.12860000000001</v>
      </c>
      <c r="E34" s="96">
        <f t="shared" si="42"/>
        <v>0</v>
      </c>
      <c r="F34" s="96">
        <f t="shared" si="42"/>
        <v>0</v>
      </c>
      <c r="G34" s="96">
        <f t="shared" si="42"/>
        <v>0</v>
      </c>
      <c r="H34" s="96">
        <f t="shared" si="42"/>
        <v>-15.7537499999994</v>
      </c>
      <c r="I34" s="96">
        <f t="shared" si="42"/>
        <v>-13.442549999999528</v>
      </c>
      <c r="J34" s="96">
        <f t="shared" si="42"/>
        <v>-8.3111999999998716</v>
      </c>
      <c r="K34" s="96">
        <f t="shared" si="42"/>
        <v>-1.5407999999999902</v>
      </c>
      <c r="L34" s="96"/>
      <c r="M34" s="96"/>
      <c r="N34" s="96"/>
      <c r="O34" s="96"/>
      <c r="P34" s="96"/>
      <c r="Q34" s="96"/>
      <c r="R34" s="96"/>
      <c r="S34" s="96"/>
      <c r="T34" s="96"/>
      <c r="U34" s="96"/>
      <c r="V34" s="96"/>
      <c r="AR34" s="75"/>
      <c r="AS34" s="153"/>
    </row>
    <row r="35" spans="3:45" x14ac:dyDescent="0.25">
      <c r="AR35" s="75"/>
    </row>
    <row r="36" spans="3:45" x14ac:dyDescent="0.25">
      <c r="H36" s="25">
        <f>H8+C8</f>
        <v>2490.1080000000002</v>
      </c>
      <c r="AR36" s="75"/>
    </row>
    <row r="37" spans="3:45" x14ac:dyDescent="0.25">
      <c r="AR37" s="75"/>
    </row>
    <row r="38" spans="3:45" x14ac:dyDescent="0.25">
      <c r="AR38" s="75"/>
    </row>
    <row r="39" spans="3:45" x14ac:dyDescent="0.25">
      <c r="AR39" s="75"/>
    </row>
    <row r="40" spans="3:45" x14ac:dyDescent="0.25">
      <c r="AR40" s="75">
        <f>C40+H40</f>
        <v>0</v>
      </c>
    </row>
    <row r="41" spans="3:45" x14ac:dyDescent="0.25">
      <c r="AR41" s="75">
        <f>C41+H41</f>
        <v>0</v>
      </c>
    </row>
    <row r="42" spans="3:45" x14ac:dyDescent="0.25">
      <c r="AR42" s="75">
        <f>C42+H42</f>
        <v>0</v>
      </c>
    </row>
    <row r="43" spans="3:45" x14ac:dyDescent="0.25">
      <c r="AR43" s="75">
        <f>C43+H43</f>
        <v>0</v>
      </c>
    </row>
    <row r="44" spans="3:45" x14ac:dyDescent="0.25">
      <c r="AR44" s="75">
        <f>C44+H44</f>
        <v>0</v>
      </c>
    </row>
  </sheetData>
  <mergeCells count="49">
    <mergeCell ref="F6:G6"/>
    <mergeCell ref="AP4:AS4"/>
    <mergeCell ref="Y6:Y7"/>
    <mergeCell ref="Z6:AA6"/>
    <mergeCell ref="AL5:AP5"/>
    <mergeCell ref="AL6:AL7"/>
    <mergeCell ref="AM6:AM7"/>
    <mergeCell ref="AN6:AN7"/>
    <mergeCell ref="AO6:AP6"/>
    <mergeCell ref="AR5:AR7"/>
    <mergeCell ref="AS5:AS7"/>
    <mergeCell ref="AQ5:AQ7"/>
    <mergeCell ref="P6:Q6"/>
    <mergeCell ref="A1:AQ1"/>
    <mergeCell ref="A2:AQ2"/>
    <mergeCell ref="A3:AQ3"/>
    <mergeCell ref="C5:G5"/>
    <mergeCell ref="W5:AA5"/>
    <mergeCell ref="H5:L5"/>
    <mergeCell ref="AB5:AF5"/>
    <mergeCell ref="M5:Q5"/>
    <mergeCell ref="AG5:AK5"/>
    <mergeCell ref="A5:A7"/>
    <mergeCell ref="B5:B7"/>
    <mergeCell ref="C6:C7"/>
    <mergeCell ref="D6:D7"/>
    <mergeCell ref="E6:E7"/>
    <mergeCell ref="N6:N7"/>
    <mergeCell ref="R5:V5"/>
    <mergeCell ref="R6:R7"/>
    <mergeCell ref="S6:S7"/>
    <mergeCell ref="T6:T7"/>
    <mergeCell ref="U6:V6"/>
    <mergeCell ref="H6:H7"/>
    <mergeCell ref="I6:I7"/>
    <mergeCell ref="J6:J7"/>
    <mergeCell ref="AJ6:AK6"/>
    <mergeCell ref="AH6:AH7"/>
    <mergeCell ref="AI6:AI7"/>
    <mergeCell ref="AG6:AG7"/>
    <mergeCell ref="AB6:AB7"/>
    <mergeCell ref="AC6:AC7"/>
    <mergeCell ref="AD6:AD7"/>
    <mergeCell ref="AE6:AF6"/>
    <mergeCell ref="X6:X7"/>
    <mergeCell ref="W6:W7"/>
    <mergeCell ref="K6:L6"/>
    <mergeCell ref="M6:M7"/>
    <mergeCell ref="O6:O7"/>
  </mergeCells>
  <phoneticPr fontId="5" type="noConversion"/>
  <printOptions horizontalCentered="1"/>
  <pageMargins left="0" right="0" top="0.15748031496063" bottom="0.27559055118110198" header="0.31496062992126" footer="0.31496062992126"/>
  <pageSetup paperSize="9" scale="30" orientation="landscape" r:id="rId1"/>
  <headerFooter differentFirst="1">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tabSelected="1" workbookViewId="0">
      <selection activeCell="I20" sqref="I20"/>
    </sheetView>
  </sheetViews>
  <sheetFormatPr defaultColWidth="9.140625" defaultRowHeight="15.75" x14ac:dyDescent="0.25"/>
  <cols>
    <col min="1" max="1" width="7" style="111" customWidth="1"/>
    <col min="2" max="2" width="32.5703125" style="111" customWidth="1"/>
    <col min="3" max="5" width="11.28515625" style="111" bestFit="1" customWidth="1"/>
    <col min="6" max="6" width="10.140625" style="111" bestFit="1" customWidth="1"/>
    <col min="7" max="8" width="11.28515625" style="111" bestFit="1" customWidth="1"/>
    <col min="9" max="9" width="10.140625" style="111" bestFit="1" customWidth="1"/>
    <col min="10" max="10" width="11.5703125" style="111" customWidth="1"/>
    <col min="11" max="11" width="12.140625" style="111" customWidth="1"/>
    <col min="12" max="13" width="10.140625" style="111" bestFit="1" customWidth="1"/>
    <col min="14" max="14" width="10" style="111" customWidth="1"/>
    <col min="15" max="16" width="11.28515625" style="111" bestFit="1" customWidth="1"/>
    <col min="17" max="17" width="9.140625" style="111" customWidth="1"/>
    <col min="18" max="18" width="8.42578125" style="111" customWidth="1"/>
    <col min="19" max="19" width="10" style="111" customWidth="1"/>
    <col min="20" max="20" width="9.85546875" style="111" customWidth="1"/>
    <col min="21" max="21" width="9" style="111" customWidth="1"/>
    <col min="22" max="22" width="10.140625" style="111" customWidth="1"/>
    <col min="23" max="23" width="9" style="111" customWidth="1"/>
    <col min="24" max="24" width="8.5703125" style="111" customWidth="1"/>
    <col min="25" max="25" width="8.7109375" style="111" customWidth="1"/>
    <col min="26" max="26" width="9.7109375" style="111" customWidth="1"/>
    <col min="27" max="27" width="9.28515625" style="111" customWidth="1"/>
    <col min="28" max="28" width="11.42578125" style="111" customWidth="1"/>
    <col min="29" max="16384" width="9.140625" style="111"/>
  </cols>
  <sheetData>
    <row r="1" spans="1:29" x14ac:dyDescent="0.25">
      <c r="A1" s="191" t="s">
        <v>106</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row>
    <row r="2" spans="1:29" x14ac:dyDescent="0.25">
      <c r="A2" s="192" t="s">
        <v>165</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row>
    <row r="3" spans="1:29" ht="21.95" customHeight="1" x14ac:dyDescent="0.25">
      <c r="A3" s="196" t="str">
        <f>'PL 3 NTM'!A3:AQ3</f>
        <v>(Đinh kèm Báo cáo số:        /BC-UBND ngày      /12/2024 của UBND huyện Phụng Hiệp)</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row>
    <row r="4" spans="1:29" x14ac:dyDescent="0.25">
      <c r="A4" s="112"/>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72" t="s">
        <v>177</v>
      </c>
      <c r="AB4" s="172"/>
    </row>
    <row r="5" spans="1:29" x14ac:dyDescent="0.25">
      <c r="A5" s="195" t="s">
        <v>6</v>
      </c>
      <c r="B5" s="195" t="s">
        <v>61</v>
      </c>
      <c r="C5" s="194" t="s">
        <v>75</v>
      </c>
      <c r="D5" s="194"/>
      <c r="E5" s="194"/>
      <c r="F5" s="194"/>
      <c r="G5" s="194"/>
      <c r="H5" s="194"/>
      <c r="I5" s="194"/>
      <c r="J5" s="194"/>
      <c r="K5" s="194"/>
      <c r="L5" s="194"/>
      <c r="M5" s="194"/>
      <c r="N5" s="194"/>
      <c r="O5" s="194" t="s">
        <v>102</v>
      </c>
      <c r="P5" s="194"/>
      <c r="Q5" s="194"/>
      <c r="R5" s="194"/>
      <c r="S5" s="194"/>
      <c r="T5" s="194"/>
      <c r="U5" s="194"/>
      <c r="V5" s="194"/>
      <c r="W5" s="194"/>
      <c r="X5" s="194"/>
      <c r="Y5" s="194"/>
      <c r="Z5" s="194"/>
      <c r="AA5" s="177" t="s">
        <v>176</v>
      </c>
      <c r="AB5" s="197" t="s">
        <v>163</v>
      </c>
    </row>
    <row r="6" spans="1:29" ht="32.25" customHeight="1" x14ac:dyDescent="0.25">
      <c r="A6" s="195"/>
      <c r="B6" s="195"/>
      <c r="C6" s="177" t="s">
        <v>103</v>
      </c>
      <c r="D6" s="193"/>
      <c r="E6" s="193"/>
      <c r="F6" s="193"/>
      <c r="G6" s="177" t="s">
        <v>62</v>
      </c>
      <c r="H6" s="177"/>
      <c r="I6" s="177"/>
      <c r="J6" s="177" t="s">
        <v>63</v>
      </c>
      <c r="K6" s="177"/>
      <c r="L6" s="177"/>
      <c r="M6" s="177"/>
      <c r="N6" s="177"/>
      <c r="O6" s="177" t="s">
        <v>101</v>
      </c>
      <c r="P6" s="177"/>
      <c r="Q6" s="177"/>
      <c r="R6" s="177"/>
      <c r="S6" s="177" t="s">
        <v>62</v>
      </c>
      <c r="T6" s="177"/>
      <c r="U6" s="177"/>
      <c r="V6" s="177" t="s">
        <v>63</v>
      </c>
      <c r="W6" s="177"/>
      <c r="X6" s="177"/>
      <c r="Y6" s="177"/>
      <c r="Z6" s="177"/>
      <c r="AA6" s="177"/>
      <c r="AB6" s="198"/>
    </row>
    <row r="7" spans="1:29" ht="47.25" x14ac:dyDescent="0.25">
      <c r="A7" s="195"/>
      <c r="B7" s="195"/>
      <c r="C7" s="114" t="s">
        <v>64</v>
      </c>
      <c r="D7" s="114" t="s">
        <v>65</v>
      </c>
      <c r="E7" s="114" t="s">
        <v>66</v>
      </c>
      <c r="F7" s="114" t="s">
        <v>67</v>
      </c>
      <c r="G7" s="114" t="s">
        <v>64</v>
      </c>
      <c r="H7" s="114" t="s">
        <v>65</v>
      </c>
      <c r="I7" s="114" t="s">
        <v>66</v>
      </c>
      <c r="J7" s="114" t="s">
        <v>64</v>
      </c>
      <c r="K7" s="114" t="s">
        <v>65</v>
      </c>
      <c r="L7" s="114" t="s">
        <v>100</v>
      </c>
      <c r="M7" s="114" t="s">
        <v>66</v>
      </c>
      <c r="N7" s="114" t="s">
        <v>67</v>
      </c>
      <c r="O7" s="114" t="s">
        <v>64</v>
      </c>
      <c r="P7" s="114" t="s">
        <v>65</v>
      </c>
      <c r="Q7" s="114" t="s">
        <v>66</v>
      </c>
      <c r="R7" s="114" t="s">
        <v>67</v>
      </c>
      <c r="S7" s="114" t="s">
        <v>64</v>
      </c>
      <c r="T7" s="114" t="s">
        <v>65</v>
      </c>
      <c r="U7" s="114" t="s">
        <v>66</v>
      </c>
      <c r="V7" s="114" t="s">
        <v>64</v>
      </c>
      <c r="W7" s="114" t="s">
        <v>65</v>
      </c>
      <c r="X7" s="114" t="s">
        <v>100</v>
      </c>
      <c r="Y7" s="114" t="s">
        <v>66</v>
      </c>
      <c r="Z7" s="114" t="s">
        <v>67</v>
      </c>
      <c r="AA7" s="177"/>
      <c r="AB7" s="199"/>
    </row>
    <row r="8" spans="1:29" x14ac:dyDescent="0.25">
      <c r="A8" s="8"/>
      <c r="B8" s="5" t="s">
        <v>60</v>
      </c>
      <c r="C8" s="102">
        <f>SUM(C9:C29)</f>
        <v>29057.227030000005</v>
      </c>
      <c r="D8" s="102">
        <f t="shared" ref="D8:T8" si="0">SUM(D9:D29)</f>
        <v>20690.930835500003</v>
      </c>
      <c r="E8" s="102">
        <f t="shared" si="0"/>
        <v>8366.2961944999988</v>
      </c>
      <c r="F8" s="102">
        <f t="shared" si="0"/>
        <v>1800.6240000000003</v>
      </c>
      <c r="G8" s="102">
        <f t="shared" si="0"/>
        <v>19595.60123</v>
      </c>
      <c r="H8" s="102">
        <f t="shared" si="0"/>
        <v>16865.2414355</v>
      </c>
      <c r="I8" s="102">
        <f t="shared" si="0"/>
        <v>2730.3597945000006</v>
      </c>
      <c r="J8" s="102">
        <f t="shared" si="0"/>
        <v>9461.6257999999998</v>
      </c>
      <c r="K8" s="102">
        <f t="shared" si="0"/>
        <v>3825.6894000000002</v>
      </c>
      <c r="L8" s="102">
        <f t="shared" si="0"/>
        <v>5635.9363999999996</v>
      </c>
      <c r="M8" s="102">
        <f t="shared" si="0"/>
        <v>3835.3123999999998</v>
      </c>
      <c r="N8" s="102">
        <f t="shared" si="0"/>
        <v>1800.6240000000003</v>
      </c>
      <c r="O8" s="102">
        <f>SUM(O9:O29)</f>
        <v>16262.076080000003</v>
      </c>
      <c r="P8" s="102">
        <f t="shared" si="0"/>
        <v>12908.230776000002</v>
      </c>
      <c r="Q8" s="102">
        <f t="shared" si="0"/>
        <v>2850.8873040000003</v>
      </c>
      <c r="R8" s="102">
        <f t="shared" si="0"/>
        <v>502.95799999999997</v>
      </c>
      <c r="S8" s="102">
        <f t="shared" si="0"/>
        <v>12772.76208</v>
      </c>
      <c r="T8" s="102">
        <f t="shared" si="0"/>
        <v>11166.425776000002</v>
      </c>
      <c r="U8" s="102">
        <f t="shared" ref="U8:Z8" si="1">SUM(U9:U29)</f>
        <v>1606.3363040000002</v>
      </c>
      <c r="V8" s="102">
        <f t="shared" si="1"/>
        <v>3489.3139999999999</v>
      </c>
      <c r="W8" s="102">
        <f t="shared" si="1"/>
        <v>1741.8050000000001</v>
      </c>
      <c r="X8" s="102">
        <f t="shared" si="1"/>
        <v>1747.5090000000002</v>
      </c>
      <c r="Y8" s="102">
        <f t="shared" si="1"/>
        <v>1244.5510000000002</v>
      </c>
      <c r="Z8" s="102">
        <f t="shared" si="1"/>
        <v>502.95799999999997</v>
      </c>
      <c r="AA8" s="107">
        <f>O8/C8*100</f>
        <v>55.965684761351433</v>
      </c>
      <c r="AB8" s="159">
        <f>C8-O8</f>
        <v>12795.150950000003</v>
      </c>
      <c r="AC8" s="115"/>
    </row>
    <row r="9" spans="1:29" ht="31.5" x14ac:dyDescent="0.25">
      <c r="A9" s="8">
        <v>1</v>
      </c>
      <c r="B9" s="116" t="s">
        <v>180</v>
      </c>
      <c r="C9" s="42">
        <f>G9+J9</f>
        <v>2642.5173600000003</v>
      </c>
      <c r="D9" s="42">
        <f>H9+K9</f>
        <v>2142.954056</v>
      </c>
      <c r="E9" s="42">
        <f>I9+L9</f>
        <v>499.56330400000002</v>
      </c>
      <c r="F9" s="42">
        <f>N9</f>
        <v>78.975999999999999</v>
      </c>
      <c r="G9" s="109">
        <f>H9+I9</f>
        <v>2247.6373600000002</v>
      </c>
      <c r="H9" s="109">
        <f>'PL 2 GNBV'!M7</f>
        <v>1985.002056</v>
      </c>
      <c r="I9" s="109">
        <f>'PL 2 GNBV'!N7</f>
        <v>262.63530400000002</v>
      </c>
      <c r="J9" s="117">
        <f>K9+L9</f>
        <v>394.88</v>
      </c>
      <c r="K9" s="117">
        <f>'PL 3 NTM'!S10</f>
        <v>157.95200000000003</v>
      </c>
      <c r="L9" s="117">
        <f>M9+N9</f>
        <v>236.928</v>
      </c>
      <c r="M9" s="117">
        <f>'PL 3 NTM'!U10</f>
        <v>157.952</v>
      </c>
      <c r="N9" s="117">
        <f>'PL 3 NTM'!V10</f>
        <v>78.975999999999999</v>
      </c>
      <c r="O9" s="42">
        <f>P9+Q9+R9</f>
        <v>1632.3130799999999</v>
      </c>
      <c r="P9" s="42">
        <f>T9+W9</f>
        <v>1460.6517759999999</v>
      </c>
      <c r="Q9" s="42">
        <f>U9+Y9</f>
        <v>135.87930399999999</v>
      </c>
      <c r="R9" s="42">
        <f>Z9</f>
        <v>35.781999999999996</v>
      </c>
      <c r="S9" s="109">
        <f>T9+U9</f>
        <v>1374.6430800000001</v>
      </c>
      <c r="T9" s="109">
        <f>'PL 2 GNBV'!Y7</f>
        <v>1349.707776</v>
      </c>
      <c r="U9" s="109">
        <f>'PL 2 GNBV'!Z7</f>
        <v>24.935303999999995</v>
      </c>
      <c r="V9" s="117">
        <f>W9+X9</f>
        <v>257.67</v>
      </c>
      <c r="W9" s="117">
        <f>'PL 3 NTM'!AM10</f>
        <v>110.94400000000002</v>
      </c>
      <c r="X9" s="117">
        <f>Y9+Z9</f>
        <v>146.726</v>
      </c>
      <c r="Y9" s="117">
        <f>'PL 3 NTM'!AO10</f>
        <v>110.944</v>
      </c>
      <c r="Z9" s="117">
        <f>'PL 3 NTM'!AP10</f>
        <v>35.781999999999996</v>
      </c>
      <c r="AA9" s="92">
        <f t="shared" ref="AA9:AA29" si="2">O9/C9*100</f>
        <v>61.771139319970246</v>
      </c>
      <c r="AB9" s="160">
        <f>C9-O9</f>
        <v>1010.2042800000004</v>
      </c>
      <c r="AC9" s="115"/>
    </row>
    <row r="10" spans="1:29" ht="31.5" x14ac:dyDescent="0.25">
      <c r="A10" s="8">
        <v>2</v>
      </c>
      <c r="B10" s="116" t="s">
        <v>166</v>
      </c>
      <c r="C10" s="42">
        <f t="shared" ref="C10:C29" si="3">G10+J10</f>
        <v>959.49980000000005</v>
      </c>
      <c r="D10" s="42">
        <f t="shared" ref="D10:D28" si="4">H10+K10</f>
        <v>662.45990000000006</v>
      </c>
      <c r="E10" s="42">
        <f t="shared" ref="E10:E29" si="5">I10+L10</f>
        <v>297.03989999999999</v>
      </c>
      <c r="F10" s="42">
        <f t="shared" ref="F10:F29" si="6">N10</f>
        <v>92.545000000000002</v>
      </c>
      <c r="G10" s="109">
        <f t="shared" ref="G10:G28" si="7">H10+I10</f>
        <v>469.5</v>
      </c>
      <c r="H10" s="109">
        <f>'PL 2 GNBV'!M13</f>
        <v>455.05950000000001</v>
      </c>
      <c r="I10" s="109">
        <f>'PL 2 GNBV'!N13</f>
        <v>14.440499999999997</v>
      </c>
      <c r="J10" s="117">
        <f>K10+L10</f>
        <v>489.99979999999999</v>
      </c>
      <c r="K10" s="117">
        <f>'PL 3 NTM'!S13</f>
        <v>207.40039999999999</v>
      </c>
      <c r="L10" s="117">
        <f>M10+N10</f>
        <v>282.5994</v>
      </c>
      <c r="M10" s="117">
        <f>'PL 3 NTM'!U13</f>
        <v>190.05439999999999</v>
      </c>
      <c r="N10" s="117">
        <f>'PL 3 NTM'!V13</f>
        <v>92.545000000000002</v>
      </c>
      <c r="O10" s="42">
        <f t="shared" ref="O10:O28" si="8">P10+Q10+R10</f>
        <v>636.72</v>
      </c>
      <c r="P10" s="42">
        <f t="shared" ref="P10:P27" si="9">T10+W10</f>
        <v>446.12</v>
      </c>
      <c r="Q10" s="42">
        <f t="shared" ref="Q10:Q28" si="10">U10+Y10</f>
        <v>135.4</v>
      </c>
      <c r="R10" s="42">
        <f t="shared" ref="R10:R29" si="11">Z10</f>
        <v>55.2</v>
      </c>
      <c r="S10" s="109">
        <f t="shared" ref="S10:S29" si="12">T10+U10</f>
        <v>290.72000000000003</v>
      </c>
      <c r="T10" s="109">
        <f>'PL 2 GNBV'!Y13</f>
        <v>290.72000000000003</v>
      </c>
      <c r="U10" s="109"/>
      <c r="V10" s="117">
        <f t="shared" ref="V10:V29" si="13">W10+X10</f>
        <v>346</v>
      </c>
      <c r="W10" s="117">
        <f>'PL 3 NTM'!AM13</f>
        <v>155.4</v>
      </c>
      <c r="X10" s="117">
        <f t="shared" ref="X10:X29" si="14">Y10+Z10</f>
        <v>190.60000000000002</v>
      </c>
      <c r="Y10" s="117">
        <f>'PL 3 NTM'!AO13</f>
        <v>135.4</v>
      </c>
      <c r="Z10" s="117">
        <f>'PL 3 NTM'!AP13</f>
        <v>55.2</v>
      </c>
      <c r="AA10" s="92">
        <f t="shared" si="2"/>
        <v>66.359576104132586</v>
      </c>
      <c r="AB10" s="160">
        <f t="shared" ref="AB10:AB29" si="15">C10-O10</f>
        <v>322.77980000000002</v>
      </c>
      <c r="AC10" s="118"/>
    </row>
    <row r="11" spans="1:29" ht="21" customHeight="1" x14ac:dyDescent="0.25">
      <c r="A11" s="8">
        <v>3</v>
      </c>
      <c r="B11" s="119" t="s">
        <v>167</v>
      </c>
      <c r="C11" s="42">
        <f>G11+J11</f>
        <v>4788.2806</v>
      </c>
      <c r="D11" s="42">
        <f t="shared" si="4"/>
        <v>2092.2505999999998</v>
      </c>
      <c r="E11" s="42">
        <f t="shared" si="5"/>
        <v>2696.03</v>
      </c>
      <c r="F11" s="42">
        <f t="shared" si="6"/>
        <v>853.31000000000006</v>
      </c>
      <c r="G11" s="109">
        <f t="shared" si="7"/>
        <v>310.49959999999999</v>
      </c>
      <c r="H11" s="109">
        <f>'PL 2 GNBV'!M16</f>
        <v>271.49959999999999</v>
      </c>
      <c r="I11" s="109">
        <f>'PL 2 GNBV'!N16</f>
        <v>39</v>
      </c>
      <c r="J11" s="117">
        <f>K11+L11</f>
        <v>4477.7809999999999</v>
      </c>
      <c r="K11" s="117">
        <f>'PL 3 NTM'!S18</f>
        <v>1820.751</v>
      </c>
      <c r="L11" s="117">
        <f>M11+N11</f>
        <v>2657.03</v>
      </c>
      <c r="M11" s="117">
        <f>'PL 3 NTM'!U18</f>
        <v>1803.72</v>
      </c>
      <c r="N11" s="117">
        <f>'PL 3 NTM'!V18</f>
        <v>853.31000000000006</v>
      </c>
      <c r="O11" s="42">
        <f t="shared" si="8"/>
        <v>1464.7280000000001</v>
      </c>
      <c r="P11" s="42">
        <f t="shared" si="9"/>
        <v>972.29899999999998</v>
      </c>
      <c r="Q11" s="42">
        <f t="shared" si="10"/>
        <v>373.58800000000008</v>
      </c>
      <c r="R11" s="42">
        <f t="shared" si="11"/>
        <v>118.84099999999999</v>
      </c>
      <c r="S11" s="109">
        <f t="shared" si="12"/>
        <v>177.01400000000001</v>
      </c>
      <c r="T11" s="109">
        <f>'PL 2 GNBV'!Y16</f>
        <v>141</v>
      </c>
      <c r="U11" s="109">
        <f>'PL 2 GNBV'!Z16</f>
        <v>36.014000000000003</v>
      </c>
      <c r="V11" s="117">
        <f t="shared" si="13"/>
        <v>1287.7139999999999</v>
      </c>
      <c r="W11" s="117">
        <f>'PL 3 NTM'!AM18</f>
        <v>831.29899999999998</v>
      </c>
      <c r="X11" s="117">
        <f t="shared" si="14"/>
        <v>456.41500000000008</v>
      </c>
      <c r="Y11" s="117">
        <f>'PL 3 NTM'!AO18</f>
        <v>337.57400000000007</v>
      </c>
      <c r="Z11" s="117">
        <f>'PL 3 NTM'!AP18</f>
        <v>118.84099999999999</v>
      </c>
      <c r="AA11" s="92">
        <f t="shared" si="2"/>
        <v>30.589853067508198</v>
      </c>
      <c r="AB11" s="160">
        <f t="shared" si="15"/>
        <v>3323.5526</v>
      </c>
    </row>
    <row r="12" spans="1:29" ht="31.5" x14ac:dyDescent="0.25">
      <c r="A12" s="8">
        <v>4</v>
      </c>
      <c r="B12" s="116" t="s">
        <v>150</v>
      </c>
      <c r="C12" s="42">
        <f t="shared" si="3"/>
        <v>3650</v>
      </c>
      <c r="D12" s="42">
        <f t="shared" si="4"/>
        <v>1460</v>
      </c>
      <c r="E12" s="42">
        <f t="shared" si="5"/>
        <v>2190</v>
      </c>
      <c r="F12" s="42">
        <f t="shared" si="6"/>
        <v>686</v>
      </c>
      <c r="G12" s="109">
        <f t="shared" si="7"/>
        <v>0</v>
      </c>
      <c r="H12" s="109"/>
      <c r="I12" s="109"/>
      <c r="J12" s="117">
        <f t="shared" ref="J12:J28" si="16">K12+L12</f>
        <v>3650</v>
      </c>
      <c r="K12" s="117">
        <f>'PL 3 NTM'!S23</f>
        <v>1460</v>
      </c>
      <c r="L12" s="117">
        <f t="shared" ref="L12:L13" si="17">M12+N12</f>
        <v>2190</v>
      </c>
      <c r="M12" s="117">
        <f>'PL 3 NTM'!U23</f>
        <v>1504</v>
      </c>
      <c r="N12" s="117">
        <f>'PL 3 NTM'!V23</f>
        <v>686</v>
      </c>
      <c r="O12" s="42">
        <f t="shared" si="8"/>
        <v>1155.633</v>
      </c>
      <c r="P12" s="42">
        <f t="shared" si="9"/>
        <v>468</v>
      </c>
      <c r="Q12" s="42">
        <f t="shared" si="10"/>
        <v>482.63300000000004</v>
      </c>
      <c r="R12" s="42">
        <f t="shared" si="11"/>
        <v>205</v>
      </c>
      <c r="S12" s="109">
        <f t="shared" si="12"/>
        <v>0</v>
      </c>
      <c r="T12" s="109"/>
      <c r="U12" s="109"/>
      <c r="V12" s="117">
        <f t="shared" si="13"/>
        <v>1155.633</v>
      </c>
      <c r="W12" s="117">
        <f>'PL 3 NTM'!AM23</f>
        <v>468</v>
      </c>
      <c r="X12" s="117">
        <f t="shared" si="14"/>
        <v>687.63300000000004</v>
      </c>
      <c r="Y12" s="117">
        <f>'PL 3 NTM'!AO23</f>
        <v>482.63300000000004</v>
      </c>
      <c r="Z12" s="117">
        <f>'PL 3 NTM'!AP23</f>
        <v>205</v>
      </c>
      <c r="AA12" s="92">
        <f t="shared" si="2"/>
        <v>31.661178082191782</v>
      </c>
      <c r="AB12" s="160">
        <f t="shared" si="15"/>
        <v>2494.3670000000002</v>
      </c>
    </row>
    <row r="13" spans="1:29" ht="24.95" customHeight="1" x14ac:dyDescent="0.25">
      <c r="A13" s="8">
        <v>5</v>
      </c>
      <c r="B13" s="116" t="s">
        <v>162</v>
      </c>
      <c r="C13" s="42">
        <f t="shared" si="3"/>
        <v>348.96500000000003</v>
      </c>
      <c r="D13" s="42">
        <f t="shared" si="4"/>
        <v>139.58600000000001</v>
      </c>
      <c r="E13" s="42">
        <f t="shared" si="5"/>
        <v>209.37900000000002</v>
      </c>
      <c r="F13" s="42">
        <f t="shared" si="6"/>
        <v>69.793000000000006</v>
      </c>
      <c r="G13" s="109">
        <f t="shared" si="7"/>
        <v>0</v>
      </c>
      <c r="H13" s="109"/>
      <c r="I13" s="109"/>
      <c r="J13" s="117">
        <f t="shared" si="16"/>
        <v>348.96500000000003</v>
      </c>
      <c r="K13" s="117">
        <f>'PL 3 NTM'!S29</f>
        <v>139.58600000000001</v>
      </c>
      <c r="L13" s="117">
        <f t="shared" si="17"/>
        <v>209.37900000000002</v>
      </c>
      <c r="M13" s="117">
        <f>'PL 3 NTM'!U29</f>
        <v>139.58600000000001</v>
      </c>
      <c r="N13" s="117">
        <f>'PL 3 NTM'!V29</f>
        <v>69.793000000000006</v>
      </c>
      <c r="O13" s="42">
        <f t="shared" si="8"/>
        <v>344.13499999999999</v>
      </c>
      <c r="P13" s="42">
        <f t="shared" si="9"/>
        <v>138</v>
      </c>
      <c r="Q13" s="42">
        <f t="shared" si="10"/>
        <v>138</v>
      </c>
      <c r="R13" s="42">
        <f t="shared" si="11"/>
        <v>68.135000000000005</v>
      </c>
      <c r="S13" s="109">
        <f t="shared" si="12"/>
        <v>0</v>
      </c>
      <c r="T13" s="109"/>
      <c r="U13" s="109"/>
      <c r="V13" s="117">
        <f t="shared" si="13"/>
        <v>344.13499999999999</v>
      </c>
      <c r="W13" s="117">
        <f>'PL 3 NTM'!AM30</f>
        <v>138</v>
      </c>
      <c r="X13" s="117">
        <f t="shared" si="14"/>
        <v>206.13499999999999</v>
      </c>
      <c r="Y13" s="117">
        <f>'PL 3 NTM'!AO30</f>
        <v>138</v>
      </c>
      <c r="Z13" s="117">
        <f>'PL 3 NTM'!AP30</f>
        <v>68.135000000000005</v>
      </c>
      <c r="AA13" s="92">
        <f t="shared" si="2"/>
        <v>98.615907039387892</v>
      </c>
      <c r="AB13" s="160">
        <f t="shared" si="15"/>
        <v>4.8300000000000409</v>
      </c>
    </row>
    <row r="14" spans="1:29" ht="24.95" customHeight="1" x14ac:dyDescent="0.25">
      <c r="A14" s="8">
        <v>6</v>
      </c>
      <c r="B14" s="120" t="s">
        <v>117</v>
      </c>
      <c r="C14" s="42">
        <f t="shared" si="3"/>
        <v>1427.7200000000003</v>
      </c>
      <c r="D14" s="42">
        <f t="shared" si="4"/>
        <v>1213.5620000000001</v>
      </c>
      <c r="E14" s="42">
        <f t="shared" si="5"/>
        <v>214.15800000000002</v>
      </c>
      <c r="F14" s="42">
        <f t="shared" si="6"/>
        <v>0</v>
      </c>
      <c r="G14" s="109">
        <f t="shared" si="7"/>
        <v>1427.7200000000003</v>
      </c>
      <c r="H14" s="109">
        <f>'PL 2 GNBV'!M19</f>
        <v>1213.5620000000001</v>
      </c>
      <c r="I14" s="109">
        <f>'PL 2 GNBV'!N19</f>
        <v>214.15800000000002</v>
      </c>
      <c r="J14" s="117">
        <f t="shared" si="16"/>
        <v>0</v>
      </c>
      <c r="K14" s="117"/>
      <c r="L14" s="117"/>
      <c r="M14" s="117"/>
      <c r="N14" s="117"/>
      <c r="O14" s="42">
        <f t="shared" si="8"/>
        <v>948.26199999999994</v>
      </c>
      <c r="P14" s="42">
        <f t="shared" si="9"/>
        <v>735.26199999999994</v>
      </c>
      <c r="Q14" s="42">
        <f t="shared" si="10"/>
        <v>213</v>
      </c>
      <c r="R14" s="42">
        <f t="shared" si="11"/>
        <v>0</v>
      </c>
      <c r="S14" s="109">
        <f t="shared" si="12"/>
        <v>948.26199999999994</v>
      </c>
      <c r="T14" s="109">
        <f>'PL 2 GNBV'!Y19</f>
        <v>735.26199999999994</v>
      </c>
      <c r="U14" s="109">
        <f>'PL 2 GNBV'!Z19</f>
        <v>213</v>
      </c>
      <c r="V14" s="117">
        <f t="shared" si="13"/>
        <v>0</v>
      </c>
      <c r="W14" s="117"/>
      <c r="X14" s="117">
        <f t="shared" si="14"/>
        <v>0</v>
      </c>
      <c r="Y14" s="117"/>
      <c r="Z14" s="117"/>
      <c r="AA14" s="92">
        <f t="shared" si="2"/>
        <v>66.417925083349658</v>
      </c>
      <c r="AB14" s="160">
        <f t="shared" si="15"/>
        <v>479.45800000000031</v>
      </c>
    </row>
    <row r="15" spans="1:29" ht="24.95" customHeight="1" x14ac:dyDescent="0.25">
      <c r="A15" s="8">
        <v>7</v>
      </c>
      <c r="B15" s="120" t="s">
        <v>118</v>
      </c>
      <c r="C15" s="42">
        <f t="shared" si="3"/>
        <v>1322.6007999999999</v>
      </c>
      <c r="D15" s="42">
        <f t="shared" si="4"/>
        <v>1124.33068</v>
      </c>
      <c r="E15" s="42">
        <f t="shared" si="5"/>
        <v>198.27011999999999</v>
      </c>
      <c r="F15" s="42">
        <f t="shared" si="6"/>
        <v>0</v>
      </c>
      <c r="G15" s="109">
        <f t="shared" si="7"/>
        <v>1322.6007999999999</v>
      </c>
      <c r="H15" s="109">
        <f>'PL 2 GNBV'!M22</f>
        <v>1124.33068</v>
      </c>
      <c r="I15" s="109">
        <f>'PL 2 GNBV'!N22</f>
        <v>198.27011999999999</v>
      </c>
      <c r="J15" s="117">
        <f t="shared" si="16"/>
        <v>0</v>
      </c>
      <c r="K15" s="117"/>
      <c r="L15" s="117"/>
      <c r="M15" s="117"/>
      <c r="N15" s="117"/>
      <c r="O15" s="42">
        <f t="shared" si="8"/>
        <v>721.4</v>
      </c>
      <c r="P15" s="42">
        <f t="shared" si="9"/>
        <v>721.4</v>
      </c>
      <c r="Q15" s="42">
        <f t="shared" si="10"/>
        <v>0</v>
      </c>
      <c r="R15" s="42">
        <f t="shared" si="11"/>
        <v>0</v>
      </c>
      <c r="S15" s="109">
        <f t="shared" si="12"/>
        <v>721.4</v>
      </c>
      <c r="T15" s="109">
        <f>'PL 2 GNBV'!Y22</f>
        <v>721.4</v>
      </c>
      <c r="U15" s="109">
        <f>'PL 2 GNBV'!Z22</f>
        <v>0</v>
      </c>
      <c r="V15" s="117">
        <f t="shared" si="13"/>
        <v>0</v>
      </c>
      <c r="W15" s="117"/>
      <c r="X15" s="117">
        <f t="shared" si="14"/>
        <v>0</v>
      </c>
      <c r="Y15" s="117"/>
      <c r="Z15" s="117"/>
      <c r="AA15" s="92">
        <f t="shared" si="2"/>
        <v>54.544046850720186</v>
      </c>
      <c r="AB15" s="160">
        <f t="shared" si="15"/>
        <v>601.20079999999996</v>
      </c>
    </row>
    <row r="16" spans="1:29" ht="24.95" customHeight="1" x14ac:dyDescent="0.25">
      <c r="A16" s="8">
        <v>8</v>
      </c>
      <c r="B16" s="120" t="s">
        <v>119</v>
      </c>
      <c r="C16" s="42">
        <f t="shared" si="3"/>
        <v>521.07600000000002</v>
      </c>
      <c r="D16" s="42">
        <f t="shared" si="4"/>
        <v>442.91460000000001</v>
      </c>
      <c r="E16" s="42">
        <f t="shared" si="5"/>
        <v>78.1614</v>
      </c>
      <c r="F16" s="42">
        <f t="shared" si="6"/>
        <v>0</v>
      </c>
      <c r="G16" s="109">
        <f t="shared" si="7"/>
        <v>521.07600000000002</v>
      </c>
      <c r="H16" s="117">
        <f>'PL 2 GNBV'!M25</f>
        <v>442.91460000000001</v>
      </c>
      <c r="I16" s="117">
        <f>'PL 2 GNBV'!N25</f>
        <v>78.1614</v>
      </c>
      <c r="J16" s="117">
        <f t="shared" si="16"/>
        <v>0</v>
      </c>
      <c r="K16" s="117"/>
      <c r="L16" s="117"/>
      <c r="M16" s="117"/>
      <c r="N16" s="117"/>
      <c r="O16" s="42">
        <f t="shared" si="8"/>
        <v>520.62</v>
      </c>
      <c r="P16" s="42">
        <f t="shared" si="9"/>
        <v>442.62</v>
      </c>
      <c r="Q16" s="42">
        <f t="shared" si="10"/>
        <v>78</v>
      </c>
      <c r="R16" s="42">
        <f t="shared" si="11"/>
        <v>0</v>
      </c>
      <c r="S16" s="109">
        <f t="shared" si="12"/>
        <v>520.62</v>
      </c>
      <c r="T16" s="117">
        <f>'PL 2 GNBV'!Y25</f>
        <v>442.62</v>
      </c>
      <c r="U16" s="117">
        <f>'PL 2 GNBV'!Z25</f>
        <v>78</v>
      </c>
      <c r="V16" s="117">
        <f t="shared" si="13"/>
        <v>0</v>
      </c>
      <c r="W16" s="117"/>
      <c r="X16" s="117">
        <f t="shared" si="14"/>
        <v>0</v>
      </c>
      <c r="Y16" s="117"/>
      <c r="Z16" s="117"/>
      <c r="AA16" s="92">
        <f t="shared" si="2"/>
        <v>99.912488773230763</v>
      </c>
      <c r="AB16" s="160">
        <f t="shared" si="15"/>
        <v>0.45600000000001728</v>
      </c>
    </row>
    <row r="17" spans="1:28" ht="24.95" customHeight="1" x14ac:dyDescent="0.25">
      <c r="A17" s="8">
        <v>9</v>
      </c>
      <c r="B17" s="120" t="s">
        <v>120</v>
      </c>
      <c r="C17" s="42">
        <f t="shared" si="3"/>
        <v>754.33999999999992</v>
      </c>
      <c r="D17" s="42">
        <f t="shared" si="4"/>
        <v>641.23099999999988</v>
      </c>
      <c r="E17" s="42">
        <f t="shared" si="5"/>
        <v>113.10899999999999</v>
      </c>
      <c r="F17" s="42">
        <f t="shared" si="6"/>
        <v>0</v>
      </c>
      <c r="G17" s="109">
        <f t="shared" si="7"/>
        <v>754.33999999999992</v>
      </c>
      <c r="H17" s="117">
        <f>'PL 2 GNBV'!M28</f>
        <v>641.23099999999988</v>
      </c>
      <c r="I17" s="117">
        <f>'PL 2 GNBV'!N28</f>
        <v>113.10899999999999</v>
      </c>
      <c r="J17" s="117">
        <f t="shared" si="16"/>
        <v>0</v>
      </c>
      <c r="K17" s="117"/>
      <c r="L17" s="117"/>
      <c r="M17" s="117"/>
      <c r="N17" s="117"/>
      <c r="O17" s="42">
        <f t="shared" si="8"/>
        <v>731.09</v>
      </c>
      <c r="P17" s="42">
        <f t="shared" si="9"/>
        <v>618.59</v>
      </c>
      <c r="Q17" s="42">
        <f t="shared" si="10"/>
        <v>112.5</v>
      </c>
      <c r="R17" s="42">
        <f t="shared" si="11"/>
        <v>0</v>
      </c>
      <c r="S17" s="109">
        <f t="shared" si="12"/>
        <v>731.09</v>
      </c>
      <c r="T17" s="117">
        <f>'PL 2 GNBV'!Y28</f>
        <v>618.59</v>
      </c>
      <c r="U17" s="117">
        <f>'PL 2 GNBV'!Z28</f>
        <v>112.5</v>
      </c>
      <c r="V17" s="117">
        <f t="shared" si="13"/>
        <v>0</v>
      </c>
      <c r="W17" s="117"/>
      <c r="X17" s="117">
        <f t="shared" si="14"/>
        <v>0</v>
      </c>
      <c r="Y17" s="117"/>
      <c r="Z17" s="117"/>
      <c r="AA17" s="92">
        <f t="shared" si="2"/>
        <v>96.917835458811695</v>
      </c>
      <c r="AB17" s="160">
        <f t="shared" si="15"/>
        <v>23.249999999999886</v>
      </c>
    </row>
    <row r="18" spans="1:28" ht="24.95" customHeight="1" x14ac:dyDescent="0.25">
      <c r="A18" s="8">
        <v>10</v>
      </c>
      <c r="B18" s="120" t="s">
        <v>121</v>
      </c>
      <c r="C18" s="42">
        <f t="shared" si="3"/>
        <v>1439.9996699999999</v>
      </c>
      <c r="D18" s="42">
        <f t="shared" si="4"/>
        <v>1294.1405</v>
      </c>
      <c r="E18" s="42">
        <f t="shared" si="5"/>
        <v>145.85917000000001</v>
      </c>
      <c r="F18" s="42">
        <f t="shared" si="6"/>
        <v>0</v>
      </c>
      <c r="G18" s="109">
        <f t="shared" si="7"/>
        <v>1439.9996699999999</v>
      </c>
      <c r="H18" s="117">
        <f>'PL 2 GNBV'!M31</f>
        <v>1294.1405</v>
      </c>
      <c r="I18" s="117">
        <f>'PL 2 GNBV'!N31</f>
        <v>145.85917000000001</v>
      </c>
      <c r="J18" s="117">
        <f t="shared" si="16"/>
        <v>0</v>
      </c>
      <c r="K18" s="117"/>
      <c r="L18" s="117"/>
      <c r="M18" s="117"/>
      <c r="N18" s="117"/>
      <c r="O18" s="42">
        <f t="shared" si="8"/>
        <v>442.392</v>
      </c>
      <c r="P18" s="42">
        <f t="shared" si="9"/>
        <v>365.5</v>
      </c>
      <c r="Q18" s="42">
        <f t="shared" si="10"/>
        <v>76.891999999999996</v>
      </c>
      <c r="R18" s="42">
        <f t="shared" si="11"/>
        <v>0</v>
      </c>
      <c r="S18" s="109">
        <f t="shared" si="12"/>
        <v>442.392</v>
      </c>
      <c r="T18" s="117">
        <f>'PL 2 GNBV'!Y31</f>
        <v>365.5</v>
      </c>
      <c r="U18" s="117">
        <f>'PL 2 GNBV'!Z31</f>
        <v>76.891999999999996</v>
      </c>
      <c r="V18" s="117">
        <f t="shared" si="13"/>
        <v>0</v>
      </c>
      <c r="W18" s="117"/>
      <c r="X18" s="117">
        <f t="shared" si="14"/>
        <v>0</v>
      </c>
      <c r="Y18" s="117"/>
      <c r="Z18" s="117"/>
      <c r="AA18" s="92">
        <f>O18/C18*100</f>
        <v>30.721673707050222</v>
      </c>
      <c r="AB18" s="160">
        <f t="shared" si="15"/>
        <v>997.60766999999987</v>
      </c>
    </row>
    <row r="19" spans="1:28" ht="24.95" customHeight="1" x14ac:dyDescent="0.25">
      <c r="A19" s="8">
        <v>11</v>
      </c>
      <c r="B19" s="120" t="s">
        <v>122</v>
      </c>
      <c r="C19" s="42">
        <f t="shared" si="3"/>
        <v>348.06779999999998</v>
      </c>
      <c r="D19" s="42">
        <f t="shared" si="4"/>
        <v>295.85762999999997</v>
      </c>
      <c r="E19" s="42">
        <f t="shared" si="5"/>
        <v>52.210169999999998</v>
      </c>
      <c r="F19" s="42">
        <f t="shared" si="6"/>
        <v>0</v>
      </c>
      <c r="G19" s="109">
        <f t="shared" si="7"/>
        <v>348.06779999999998</v>
      </c>
      <c r="H19" s="117">
        <f>'PL 2 GNBV'!M35</f>
        <v>295.85762999999997</v>
      </c>
      <c r="I19" s="117">
        <f>'PL 2 GNBV'!N35</f>
        <v>52.210169999999998</v>
      </c>
      <c r="J19" s="117">
        <f t="shared" si="16"/>
        <v>0</v>
      </c>
      <c r="K19" s="117"/>
      <c r="L19" s="117"/>
      <c r="M19" s="117"/>
      <c r="N19" s="117"/>
      <c r="O19" s="42">
        <f t="shared" si="8"/>
        <v>343.15999999999997</v>
      </c>
      <c r="P19" s="42">
        <f t="shared" si="9"/>
        <v>291.13499999999999</v>
      </c>
      <c r="Q19" s="42">
        <f t="shared" si="10"/>
        <v>52.024999999999999</v>
      </c>
      <c r="R19" s="42">
        <f t="shared" si="11"/>
        <v>0</v>
      </c>
      <c r="S19" s="109">
        <f t="shared" si="12"/>
        <v>343.15999999999997</v>
      </c>
      <c r="T19" s="117">
        <f>'PL 2 GNBV'!Y35</f>
        <v>291.13499999999999</v>
      </c>
      <c r="U19" s="117">
        <f>'PL 2 GNBV'!Z35</f>
        <v>52.024999999999999</v>
      </c>
      <c r="V19" s="117">
        <f t="shared" si="13"/>
        <v>0</v>
      </c>
      <c r="W19" s="117"/>
      <c r="X19" s="117">
        <f t="shared" si="14"/>
        <v>0</v>
      </c>
      <c r="Y19" s="117"/>
      <c r="Z19" s="117"/>
      <c r="AA19" s="92">
        <f t="shared" si="2"/>
        <v>98.589987353038694</v>
      </c>
      <c r="AB19" s="160">
        <f t="shared" si="15"/>
        <v>4.9078000000000088</v>
      </c>
    </row>
    <row r="20" spans="1:28" ht="24.95" customHeight="1" x14ac:dyDescent="0.25">
      <c r="A20" s="8">
        <v>12</v>
      </c>
      <c r="B20" s="120" t="s">
        <v>123</v>
      </c>
      <c r="C20" s="42">
        <f t="shared" si="3"/>
        <v>935.6</v>
      </c>
      <c r="D20" s="42">
        <f t="shared" si="4"/>
        <v>795.26</v>
      </c>
      <c r="E20" s="42">
        <f t="shared" si="5"/>
        <v>140.34</v>
      </c>
      <c r="F20" s="42">
        <f t="shared" si="6"/>
        <v>0</v>
      </c>
      <c r="G20" s="109">
        <f t="shared" si="7"/>
        <v>935.6</v>
      </c>
      <c r="H20" s="117">
        <f>'PL 2 GNBV'!M39</f>
        <v>795.26</v>
      </c>
      <c r="I20" s="117">
        <f>'PL 2 GNBV'!N39</f>
        <v>140.34</v>
      </c>
      <c r="J20" s="117">
        <f t="shared" si="16"/>
        <v>0</v>
      </c>
      <c r="K20" s="117"/>
      <c r="L20" s="117"/>
      <c r="M20" s="117"/>
      <c r="N20" s="117"/>
      <c r="O20" s="42">
        <f t="shared" si="8"/>
        <v>866.79600000000005</v>
      </c>
      <c r="P20" s="42">
        <f t="shared" si="9"/>
        <v>731.79600000000005</v>
      </c>
      <c r="Q20" s="42">
        <f t="shared" si="10"/>
        <v>135</v>
      </c>
      <c r="R20" s="42">
        <f t="shared" si="11"/>
        <v>0</v>
      </c>
      <c r="S20" s="109">
        <f t="shared" si="12"/>
        <v>866.79600000000005</v>
      </c>
      <c r="T20" s="117">
        <f>'PL 2 GNBV'!Y39</f>
        <v>731.79600000000005</v>
      </c>
      <c r="U20" s="117">
        <f>'PL 2 GNBV'!Z39</f>
        <v>135</v>
      </c>
      <c r="V20" s="117">
        <f t="shared" si="13"/>
        <v>0</v>
      </c>
      <c r="W20" s="117"/>
      <c r="X20" s="117">
        <f t="shared" si="14"/>
        <v>0</v>
      </c>
      <c r="Y20" s="117"/>
      <c r="Z20" s="117"/>
      <c r="AA20" s="92">
        <f t="shared" si="2"/>
        <v>92.646002565198799</v>
      </c>
      <c r="AB20" s="160">
        <f t="shared" si="15"/>
        <v>68.803999999999974</v>
      </c>
    </row>
    <row r="21" spans="1:28" ht="24.95" customHeight="1" x14ac:dyDescent="0.25">
      <c r="A21" s="8">
        <v>13</v>
      </c>
      <c r="B21" s="120" t="s">
        <v>124</v>
      </c>
      <c r="C21" s="42">
        <f t="shared" si="3"/>
        <v>1212.5439999999999</v>
      </c>
      <c r="D21" s="42">
        <f t="shared" si="4"/>
        <v>1030.6623999999999</v>
      </c>
      <c r="E21" s="42">
        <f t="shared" si="5"/>
        <v>181.88159999999999</v>
      </c>
      <c r="F21" s="42">
        <f t="shared" si="6"/>
        <v>0</v>
      </c>
      <c r="G21" s="109">
        <f t="shared" si="7"/>
        <v>1212.5439999999999</v>
      </c>
      <c r="H21" s="117">
        <f>'PL 2 GNBV'!M42</f>
        <v>1030.6623999999999</v>
      </c>
      <c r="I21" s="117">
        <f>'PL 2 GNBV'!N42</f>
        <v>181.88159999999999</v>
      </c>
      <c r="J21" s="117">
        <f t="shared" si="16"/>
        <v>0</v>
      </c>
      <c r="K21" s="117"/>
      <c r="L21" s="117"/>
      <c r="M21" s="117"/>
      <c r="N21" s="117"/>
      <c r="O21" s="42">
        <f t="shared" si="8"/>
        <v>707.06299999999999</v>
      </c>
      <c r="P21" s="42">
        <f t="shared" si="9"/>
        <v>707.06299999999999</v>
      </c>
      <c r="Q21" s="42">
        <f t="shared" si="10"/>
        <v>0</v>
      </c>
      <c r="R21" s="42">
        <f t="shared" si="11"/>
        <v>0</v>
      </c>
      <c r="S21" s="109">
        <f t="shared" si="12"/>
        <v>707.06299999999999</v>
      </c>
      <c r="T21" s="117">
        <f>'PL 2 GNBV'!Y42</f>
        <v>707.06299999999999</v>
      </c>
      <c r="U21" s="117">
        <f>'PL 2 GNBV'!Z42</f>
        <v>0</v>
      </c>
      <c r="V21" s="117">
        <f t="shared" si="13"/>
        <v>0</v>
      </c>
      <c r="W21" s="117"/>
      <c r="X21" s="117">
        <f t="shared" si="14"/>
        <v>0</v>
      </c>
      <c r="Y21" s="117"/>
      <c r="Z21" s="117"/>
      <c r="AA21" s="92">
        <f t="shared" si="2"/>
        <v>58.312358149477475</v>
      </c>
      <c r="AB21" s="160">
        <f t="shared" si="15"/>
        <v>505.48099999999988</v>
      </c>
    </row>
    <row r="22" spans="1:28" ht="24.95" customHeight="1" x14ac:dyDescent="0.25">
      <c r="A22" s="8">
        <v>14</v>
      </c>
      <c r="B22" s="120" t="s">
        <v>125</v>
      </c>
      <c r="C22" s="42">
        <f t="shared" si="3"/>
        <v>537.11199999999997</v>
      </c>
      <c r="D22" s="42">
        <f t="shared" si="4"/>
        <v>456.54519999999997</v>
      </c>
      <c r="E22" s="42">
        <f t="shared" si="5"/>
        <v>80.566800000000001</v>
      </c>
      <c r="F22" s="42">
        <f t="shared" si="6"/>
        <v>0</v>
      </c>
      <c r="G22" s="109">
        <f t="shared" si="7"/>
        <v>537.11199999999997</v>
      </c>
      <c r="H22" s="117">
        <f>'PL 2 GNBV'!M45</f>
        <v>456.54519999999997</v>
      </c>
      <c r="I22" s="117">
        <f>'PL 2 GNBV'!N45</f>
        <v>80.566800000000001</v>
      </c>
      <c r="J22" s="117">
        <f t="shared" si="16"/>
        <v>0</v>
      </c>
      <c r="K22" s="117"/>
      <c r="L22" s="117"/>
      <c r="M22" s="117"/>
      <c r="N22" s="117"/>
      <c r="O22" s="42">
        <f t="shared" si="8"/>
        <v>503.83200000000005</v>
      </c>
      <c r="P22" s="42">
        <f t="shared" si="9"/>
        <v>425.83200000000005</v>
      </c>
      <c r="Q22" s="42">
        <f t="shared" si="10"/>
        <v>78</v>
      </c>
      <c r="R22" s="42">
        <f t="shared" si="11"/>
        <v>0</v>
      </c>
      <c r="S22" s="109">
        <f t="shared" si="12"/>
        <v>503.83200000000005</v>
      </c>
      <c r="T22" s="117">
        <f>'PL 2 GNBV'!Y45</f>
        <v>425.83200000000005</v>
      </c>
      <c r="U22" s="117">
        <f>'PL 2 GNBV'!Z45</f>
        <v>78</v>
      </c>
      <c r="V22" s="117">
        <f t="shared" si="13"/>
        <v>0</v>
      </c>
      <c r="W22" s="117"/>
      <c r="X22" s="117">
        <f t="shared" si="14"/>
        <v>0</v>
      </c>
      <c r="Y22" s="117"/>
      <c r="Z22" s="117"/>
      <c r="AA22" s="92">
        <f t="shared" si="2"/>
        <v>93.803899372942709</v>
      </c>
      <c r="AB22" s="160">
        <f t="shared" si="15"/>
        <v>33.279999999999916</v>
      </c>
    </row>
    <row r="23" spans="1:28" ht="24.95" customHeight="1" x14ac:dyDescent="0.25">
      <c r="A23" s="8">
        <v>15</v>
      </c>
      <c r="B23" s="120" t="s">
        <v>126</v>
      </c>
      <c r="C23" s="42">
        <f t="shared" si="3"/>
        <v>1490.6019999999999</v>
      </c>
      <c r="D23" s="42">
        <f t="shared" si="4"/>
        <v>1267.0331999999999</v>
      </c>
      <c r="E23" s="42">
        <f t="shared" si="5"/>
        <v>223.56880000000001</v>
      </c>
      <c r="F23" s="42">
        <f t="shared" si="6"/>
        <v>0</v>
      </c>
      <c r="G23" s="109">
        <f t="shared" si="7"/>
        <v>1490.6019999999999</v>
      </c>
      <c r="H23" s="117">
        <f>'PL 2 GNBV'!M48</f>
        <v>1267.0331999999999</v>
      </c>
      <c r="I23" s="117">
        <f>'PL 2 GNBV'!N48</f>
        <v>223.56880000000001</v>
      </c>
      <c r="J23" s="117">
        <f t="shared" si="16"/>
        <v>0</v>
      </c>
      <c r="K23" s="117"/>
      <c r="L23" s="117"/>
      <c r="M23" s="117"/>
      <c r="N23" s="117"/>
      <c r="O23" s="42">
        <f t="shared" si="8"/>
        <v>751.67000000000007</v>
      </c>
      <c r="P23" s="42">
        <f t="shared" si="9"/>
        <v>637.67000000000007</v>
      </c>
      <c r="Q23" s="42">
        <f t="shared" si="10"/>
        <v>114</v>
      </c>
      <c r="R23" s="42">
        <f t="shared" si="11"/>
        <v>0</v>
      </c>
      <c r="S23" s="109">
        <f t="shared" si="12"/>
        <v>751.67000000000007</v>
      </c>
      <c r="T23" s="117">
        <f>'PL 2 GNBV'!Y48</f>
        <v>637.67000000000007</v>
      </c>
      <c r="U23" s="117">
        <f>'PL 2 GNBV'!Z48</f>
        <v>114</v>
      </c>
      <c r="V23" s="117">
        <f t="shared" si="13"/>
        <v>0</v>
      </c>
      <c r="W23" s="117"/>
      <c r="X23" s="117">
        <f t="shared" si="14"/>
        <v>0</v>
      </c>
      <c r="Y23" s="117"/>
      <c r="Z23" s="117"/>
      <c r="AA23" s="92">
        <f t="shared" si="2"/>
        <v>50.427277033037669</v>
      </c>
      <c r="AB23" s="160">
        <f t="shared" si="15"/>
        <v>738.93199999999979</v>
      </c>
    </row>
    <row r="24" spans="1:28" ht="24.95" customHeight="1" x14ac:dyDescent="0.25">
      <c r="A24" s="8">
        <v>16</v>
      </c>
      <c r="B24" s="120" t="s">
        <v>127</v>
      </c>
      <c r="C24" s="42">
        <f t="shared" si="3"/>
        <v>1231.73</v>
      </c>
      <c r="D24" s="42">
        <f t="shared" si="4"/>
        <v>1046.9704999999999</v>
      </c>
      <c r="E24" s="42">
        <f t="shared" si="5"/>
        <v>184.7595</v>
      </c>
      <c r="F24" s="42">
        <f t="shared" si="6"/>
        <v>0</v>
      </c>
      <c r="G24" s="109">
        <f t="shared" si="7"/>
        <v>1231.73</v>
      </c>
      <c r="H24" s="117">
        <f>'PL 2 GNBV'!M52</f>
        <v>1046.9704999999999</v>
      </c>
      <c r="I24" s="117">
        <f>'PL 2 GNBV'!N52</f>
        <v>184.7595</v>
      </c>
      <c r="J24" s="117">
        <f t="shared" si="16"/>
        <v>0</v>
      </c>
      <c r="K24" s="117"/>
      <c r="L24" s="117"/>
      <c r="M24" s="117"/>
      <c r="N24" s="117"/>
      <c r="O24" s="42">
        <f t="shared" si="8"/>
        <v>756.38599999999997</v>
      </c>
      <c r="P24" s="42">
        <f t="shared" si="9"/>
        <v>648.38599999999997</v>
      </c>
      <c r="Q24" s="42">
        <f t="shared" si="10"/>
        <v>108</v>
      </c>
      <c r="R24" s="42">
        <f t="shared" si="11"/>
        <v>0</v>
      </c>
      <c r="S24" s="109">
        <f t="shared" si="12"/>
        <v>756.38599999999997</v>
      </c>
      <c r="T24" s="117">
        <f>'PL 2 GNBV'!V52</f>
        <v>648.38599999999997</v>
      </c>
      <c r="U24" s="117">
        <f>'PL 2 GNBV'!W52</f>
        <v>108</v>
      </c>
      <c r="V24" s="117">
        <f t="shared" si="13"/>
        <v>0</v>
      </c>
      <c r="W24" s="117"/>
      <c r="X24" s="117">
        <f t="shared" si="14"/>
        <v>0</v>
      </c>
      <c r="Y24" s="117"/>
      <c r="Z24" s="117"/>
      <c r="AA24" s="92">
        <f t="shared" si="2"/>
        <v>61.408425547806743</v>
      </c>
      <c r="AB24" s="160">
        <f t="shared" si="15"/>
        <v>475.34400000000005</v>
      </c>
    </row>
    <row r="25" spans="1:28" ht="24.95" customHeight="1" x14ac:dyDescent="0.25">
      <c r="A25" s="8">
        <v>17</v>
      </c>
      <c r="B25" s="120" t="s">
        <v>128</v>
      </c>
      <c r="C25" s="42">
        <f t="shared" si="3"/>
        <v>1343.481</v>
      </c>
      <c r="D25" s="42">
        <f t="shared" si="4"/>
        <v>1141.95885</v>
      </c>
      <c r="E25" s="42">
        <f t="shared" si="5"/>
        <v>201.52215000000001</v>
      </c>
      <c r="F25" s="42">
        <f t="shared" si="6"/>
        <v>0</v>
      </c>
      <c r="G25" s="109">
        <f t="shared" si="7"/>
        <v>1343.481</v>
      </c>
      <c r="H25" s="117">
        <f>'PL 2 GNBV'!M56</f>
        <v>1141.95885</v>
      </c>
      <c r="I25" s="117">
        <f>'PL 2 GNBV'!N56</f>
        <v>201.52215000000001</v>
      </c>
      <c r="J25" s="117">
        <f t="shared" si="16"/>
        <v>0</v>
      </c>
      <c r="K25" s="117"/>
      <c r="L25" s="117"/>
      <c r="M25" s="117"/>
      <c r="N25" s="117"/>
      <c r="O25" s="42">
        <f t="shared" si="8"/>
        <v>1287.5320000000002</v>
      </c>
      <c r="P25" s="42">
        <f t="shared" si="9"/>
        <v>1088.0320000000002</v>
      </c>
      <c r="Q25" s="42">
        <f t="shared" si="10"/>
        <v>199.5</v>
      </c>
      <c r="R25" s="42">
        <f t="shared" si="11"/>
        <v>0</v>
      </c>
      <c r="S25" s="109">
        <f t="shared" si="12"/>
        <v>1287.5320000000002</v>
      </c>
      <c r="T25" s="117">
        <f>'PL 2 GNBV'!Y56</f>
        <v>1088.0320000000002</v>
      </c>
      <c r="U25" s="117">
        <f>'PL 2 GNBV'!Z56</f>
        <v>199.5</v>
      </c>
      <c r="V25" s="117">
        <f t="shared" si="13"/>
        <v>0</v>
      </c>
      <c r="W25" s="117"/>
      <c r="X25" s="117">
        <f t="shared" si="14"/>
        <v>0</v>
      </c>
      <c r="Y25" s="117"/>
      <c r="Z25" s="117"/>
      <c r="AA25" s="92">
        <f t="shared" si="2"/>
        <v>95.835519817548615</v>
      </c>
      <c r="AB25" s="160">
        <f t="shared" si="15"/>
        <v>55.948999999999842</v>
      </c>
    </row>
    <row r="26" spans="1:28" ht="24.95" customHeight="1" x14ac:dyDescent="0.25">
      <c r="A26" s="8">
        <v>18</v>
      </c>
      <c r="B26" s="120" t="s">
        <v>129</v>
      </c>
      <c r="C26" s="42">
        <f t="shared" si="3"/>
        <v>1920.6610000000001</v>
      </c>
      <c r="D26" s="42">
        <f t="shared" si="4"/>
        <v>1633.0990000000002</v>
      </c>
      <c r="E26" s="42">
        <f t="shared" si="5"/>
        <v>287.56200000000001</v>
      </c>
      <c r="F26" s="42">
        <f t="shared" si="6"/>
        <v>0</v>
      </c>
      <c r="G26" s="109">
        <f t="shared" si="7"/>
        <v>1920.6610000000001</v>
      </c>
      <c r="H26" s="117">
        <f>'PL 2 GNBV'!M60</f>
        <v>1633.0990000000002</v>
      </c>
      <c r="I26" s="117">
        <f>'PL 2 GNBV'!N60</f>
        <v>287.56200000000001</v>
      </c>
      <c r="J26" s="117">
        <f t="shared" si="16"/>
        <v>0</v>
      </c>
      <c r="K26" s="117"/>
      <c r="L26" s="117"/>
      <c r="M26" s="117"/>
      <c r="N26" s="117"/>
      <c r="O26" s="42">
        <f t="shared" si="8"/>
        <v>847.86</v>
      </c>
      <c r="P26" s="42">
        <f t="shared" si="9"/>
        <v>636.36</v>
      </c>
      <c r="Q26" s="42">
        <f t="shared" si="10"/>
        <v>211.5</v>
      </c>
      <c r="R26" s="42">
        <f t="shared" si="11"/>
        <v>0</v>
      </c>
      <c r="S26" s="109">
        <f t="shared" si="12"/>
        <v>847.86</v>
      </c>
      <c r="T26" s="117">
        <f>'PL 2 GNBV'!Y60</f>
        <v>636.36</v>
      </c>
      <c r="U26" s="117">
        <f>'PL 2 GNBV'!Z60</f>
        <v>211.5</v>
      </c>
      <c r="V26" s="117">
        <f t="shared" si="13"/>
        <v>0</v>
      </c>
      <c r="W26" s="117"/>
      <c r="X26" s="117">
        <f t="shared" si="14"/>
        <v>0</v>
      </c>
      <c r="Y26" s="117"/>
      <c r="Z26" s="117"/>
      <c r="AA26" s="92">
        <f t="shared" si="2"/>
        <v>44.144177447243422</v>
      </c>
      <c r="AB26" s="160">
        <f t="shared" si="15"/>
        <v>1072.8009999999999</v>
      </c>
    </row>
    <row r="27" spans="1:28" ht="24.95" customHeight="1" x14ac:dyDescent="0.25">
      <c r="A27" s="8">
        <v>19</v>
      </c>
      <c r="B27" s="120" t="s">
        <v>130</v>
      </c>
      <c r="C27" s="42">
        <f t="shared" si="3"/>
        <v>1553.4860000000001</v>
      </c>
      <c r="D27" s="42">
        <f t="shared" si="4"/>
        <v>1320.5123195000001</v>
      </c>
      <c r="E27" s="42">
        <f t="shared" si="5"/>
        <v>232.9736805</v>
      </c>
      <c r="F27" s="42">
        <f t="shared" si="6"/>
        <v>0</v>
      </c>
      <c r="G27" s="109">
        <f t="shared" si="7"/>
        <v>1553.4860000000001</v>
      </c>
      <c r="H27" s="117">
        <f>'PL 2 GNBV'!M64</f>
        <v>1320.5123195000001</v>
      </c>
      <c r="I27" s="117">
        <f>'PL 2 GNBV'!N64</f>
        <v>232.9736805</v>
      </c>
      <c r="J27" s="117">
        <f t="shared" si="16"/>
        <v>0</v>
      </c>
      <c r="K27" s="117"/>
      <c r="L27" s="117"/>
      <c r="M27" s="117"/>
      <c r="N27" s="117"/>
      <c r="O27" s="42">
        <f t="shared" si="8"/>
        <v>1018.167</v>
      </c>
      <c r="P27" s="42">
        <f t="shared" si="9"/>
        <v>926.197</v>
      </c>
      <c r="Q27" s="42">
        <f t="shared" si="10"/>
        <v>91.97</v>
      </c>
      <c r="R27" s="42">
        <f t="shared" si="11"/>
        <v>0</v>
      </c>
      <c r="S27" s="109">
        <f t="shared" si="12"/>
        <v>1018.167</v>
      </c>
      <c r="T27" s="117">
        <f>'PL 2 GNBV'!Y64</f>
        <v>926.197</v>
      </c>
      <c r="U27" s="117">
        <f>'PL 2 GNBV'!Z64</f>
        <v>91.97</v>
      </c>
      <c r="V27" s="117">
        <f t="shared" si="13"/>
        <v>0</v>
      </c>
      <c r="W27" s="117"/>
      <c r="X27" s="117">
        <f t="shared" si="14"/>
        <v>0</v>
      </c>
      <c r="Y27" s="117"/>
      <c r="Z27" s="117"/>
      <c r="AA27" s="92">
        <f t="shared" si="2"/>
        <v>65.540790197014971</v>
      </c>
      <c r="AB27" s="160">
        <f t="shared" si="15"/>
        <v>535.31900000000007</v>
      </c>
    </row>
    <row r="28" spans="1:28" ht="24.95" customHeight="1" x14ac:dyDescent="0.25">
      <c r="A28" s="8">
        <v>20</v>
      </c>
      <c r="B28" s="119" t="s">
        <v>131</v>
      </c>
      <c r="C28" s="42">
        <f t="shared" si="3"/>
        <v>528.94400000000007</v>
      </c>
      <c r="D28" s="42">
        <f t="shared" si="4"/>
        <v>449.60240000000005</v>
      </c>
      <c r="E28" s="42">
        <f t="shared" si="5"/>
        <v>79.341600000000014</v>
      </c>
      <c r="F28" s="42">
        <f t="shared" si="6"/>
        <v>0</v>
      </c>
      <c r="G28" s="109">
        <f t="shared" si="7"/>
        <v>528.94400000000007</v>
      </c>
      <c r="H28" s="117">
        <f>'PL 2 GNBV'!M68</f>
        <v>449.60240000000005</v>
      </c>
      <c r="I28" s="117">
        <f>'PL 2 GNBV'!N68</f>
        <v>79.341600000000014</v>
      </c>
      <c r="J28" s="117">
        <f t="shared" si="16"/>
        <v>0</v>
      </c>
      <c r="K28" s="117"/>
      <c r="L28" s="117"/>
      <c r="M28" s="117"/>
      <c r="N28" s="117"/>
      <c r="O28" s="42">
        <f t="shared" si="8"/>
        <v>484.15499999999997</v>
      </c>
      <c r="P28" s="42">
        <f>T28+W28</f>
        <v>409.15499999999997</v>
      </c>
      <c r="Q28" s="42">
        <f t="shared" si="10"/>
        <v>75</v>
      </c>
      <c r="R28" s="42">
        <f t="shared" si="11"/>
        <v>0</v>
      </c>
      <c r="S28" s="109">
        <f t="shared" si="12"/>
        <v>484.15499999999997</v>
      </c>
      <c r="T28" s="117">
        <f>'PL 2 GNBV'!V69</f>
        <v>409.15499999999997</v>
      </c>
      <c r="U28" s="117">
        <f>'PL 2 GNBV'!Z68</f>
        <v>75</v>
      </c>
      <c r="V28" s="117">
        <f t="shared" si="13"/>
        <v>0</v>
      </c>
      <c r="W28" s="117"/>
      <c r="X28" s="117">
        <f t="shared" si="14"/>
        <v>0</v>
      </c>
      <c r="Y28" s="117"/>
      <c r="Z28" s="117"/>
      <c r="AA28" s="92">
        <f t="shared" si="2"/>
        <v>91.532373937505653</v>
      </c>
      <c r="AB28" s="160">
        <f t="shared" si="15"/>
        <v>44.789000000000101</v>
      </c>
    </row>
    <row r="29" spans="1:28" ht="24.95" customHeight="1" x14ac:dyDescent="0.25">
      <c r="A29" s="121">
        <v>21</v>
      </c>
      <c r="B29" s="122" t="s">
        <v>170</v>
      </c>
      <c r="C29" s="42">
        <f t="shared" si="3"/>
        <v>100</v>
      </c>
      <c r="D29" s="42">
        <f>H29+K29</f>
        <v>40</v>
      </c>
      <c r="E29" s="42">
        <f t="shared" si="5"/>
        <v>60</v>
      </c>
      <c r="F29" s="42">
        <f t="shared" si="6"/>
        <v>20</v>
      </c>
      <c r="G29" s="109"/>
      <c r="H29" s="123"/>
      <c r="I29" s="123"/>
      <c r="J29" s="117">
        <f>K29+L29</f>
        <v>100</v>
      </c>
      <c r="K29" s="123">
        <f>'PL 3 NTM'!S32</f>
        <v>40</v>
      </c>
      <c r="L29" s="117">
        <f>'PL 3 NTM'!T32</f>
        <v>60</v>
      </c>
      <c r="M29" s="123">
        <f>'PL 3 NTM'!U32</f>
        <v>40</v>
      </c>
      <c r="N29" s="123">
        <f>'PL 3 NTM'!V32</f>
        <v>20</v>
      </c>
      <c r="O29" s="42">
        <f>P29+Q29+R29</f>
        <v>98.162000000000006</v>
      </c>
      <c r="P29" s="42">
        <f>T29+W29</f>
        <v>38.161999999999999</v>
      </c>
      <c r="Q29" s="42">
        <f>U29+Y29</f>
        <v>40</v>
      </c>
      <c r="R29" s="42">
        <f t="shared" si="11"/>
        <v>20</v>
      </c>
      <c r="S29" s="109">
        <f t="shared" si="12"/>
        <v>0</v>
      </c>
      <c r="T29" s="117"/>
      <c r="U29" s="117"/>
      <c r="V29" s="117">
        <f t="shared" si="13"/>
        <v>98.162000000000006</v>
      </c>
      <c r="W29" s="156">
        <f>'PL 3 NTM'!AM32</f>
        <v>38.161999999999999</v>
      </c>
      <c r="X29" s="117">
        <f t="shared" si="14"/>
        <v>60</v>
      </c>
      <c r="Y29" s="156">
        <f>'PL 3 NTM'!AO32</f>
        <v>40</v>
      </c>
      <c r="Z29" s="156">
        <f>'PL 3 NTM'!AP32</f>
        <v>20</v>
      </c>
      <c r="AA29" s="92">
        <f t="shared" si="2"/>
        <v>98.162000000000006</v>
      </c>
      <c r="AB29" s="160">
        <f t="shared" si="15"/>
        <v>1.8379999999999939</v>
      </c>
    </row>
    <row r="30" spans="1:28" x14ac:dyDescent="0.25">
      <c r="G30" s="118"/>
      <c r="H30" s="118"/>
      <c r="I30" s="118"/>
      <c r="J30" s="118"/>
      <c r="K30" s="118"/>
      <c r="L30" s="118"/>
      <c r="M30" s="118"/>
      <c r="N30" s="118"/>
    </row>
    <row r="31" spans="1:28" x14ac:dyDescent="0.25">
      <c r="G31" s="118"/>
      <c r="H31" s="118"/>
      <c r="I31" s="118"/>
      <c r="J31" s="118"/>
      <c r="K31" s="118"/>
      <c r="L31" s="118"/>
      <c r="M31" s="118"/>
      <c r="N31" s="118"/>
    </row>
  </sheetData>
  <mergeCells count="16">
    <mergeCell ref="A1:AB1"/>
    <mergeCell ref="A2:AA2"/>
    <mergeCell ref="C6:F6"/>
    <mergeCell ref="G6:I6"/>
    <mergeCell ref="J6:N6"/>
    <mergeCell ref="C5:N5"/>
    <mergeCell ref="B5:B7"/>
    <mergeCell ref="A5:A7"/>
    <mergeCell ref="O5:Z5"/>
    <mergeCell ref="A3:AB3"/>
    <mergeCell ref="AB5:AB7"/>
    <mergeCell ref="O6:R6"/>
    <mergeCell ref="S6:U6"/>
    <mergeCell ref="V6:Z6"/>
    <mergeCell ref="AA5:AA7"/>
    <mergeCell ref="AA4:AB4"/>
  </mergeCells>
  <pageMargins left="0.15748031496063" right="0.15748031496063" top="0.74803149606299202" bottom="0.74803149606299202" header="0.31496062992126" footer="0.31496062992126"/>
  <pageSetup paperSize="9"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topLeftCell="A4" workbookViewId="0">
      <selection activeCell="A2" sqref="A2:AG2"/>
    </sheetView>
  </sheetViews>
  <sheetFormatPr defaultColWidth="9.140625" defaultRowHeight="15.75" x14ac:dyDescent="0.25"/>
  <cols>
    <col min="1" max="1" width="5.7109375" style="21" customWidth="1"/>
    <col min="2" max="2" width="64" style="22" customWidth="1"/>
    <col min="3" max="3" width="9.140625" style="25" bestFit="1"/>
    <col min="4" max="4" width="9.85546875" style="25" customWidth="1"/>
    <col min="5" max="5" width="10" style="25" customWidth="1"/>
    <col min="6" max="6" width="10.7109375" style="25" customWidth="1"/>
    <col min="7" max="7" width="10.140625" style="25" customWidth="1"/>
    <col min="8" max="8" width="7.42578125" style="25" bestFit="1" customWidth="1"/>
    <col min="9" max="9" width="9.85546875" style="25" customWidth="1"/>
    <col min="10" max="10" width="9.42578125" style="25" customWidth="1"/>
    <col min="11" max="11" width="9.5703125" style="25" customWidth="1"/>
    <col min="12" max="12" width="9.140625" style="25"/>
    <col min="13" max="13" width="11.28515625" style="25" customWidth="1"/>
    <col min="14" max="14" width="9.28515625" style="25" customWidth="1"/>
    <col min="15" max="15" width="10.85546875" style="25" customWidth="1"/>
    <col min="16" max="16" width="10.5703125" style="25" customWidth="1"/>
    <col min="17" max="17" width="9.42578125" style="25" customWidth="1"/>
    <col min="18" max="18" width="7.85546875" style="25" bestFit="1" customWidth="1"/>
    <col min="19" max="19" width="9.5703125" style="25" customWidth="1"/>
    <col min="20" max="20" width="10.140625" style="25" customWidth="1"/>
    <col min="21" max="21" width="9.28515625" style="25" customWidth="1"/>
    <col min="22" max="22" width="8.85546875" style="25" customWidth="1"/>
    <col min="23" max="23" width="12.140625" style="25" customWidth="1"/>
    <col min="24" max="25" width="12" style="25" customWidth="1"/>
    <col min="26" max="26" width="11.7109375" style="25" customWidth="1"/>
    <col min="27" max="27" width="10.5703125" style="25" customWidth="1"/>
    <col min="28" max="28" width="12.42578125" style="25" customWidth="1"/>
    <col min="29" max="29" width="11.85546875" style="25" customWidth="1"/>
    <col min="30" max="30" width="10.42578125" style="25" customWidth="1"/>
    <col min="31" max="31" width="10.85546875" style="25" customWidth="1"/>
    <col min="32" max="32" width="9.7109375" style="25" customWidth="1"/>
    <col min="33" max="33" width="8.28515625" style="23" bestFit="1" customWidth="1"/>
    <col min="34" max="35" width="12" style="24" bestFit="1" customWidth="1"/>
    <col min="36" max="36" width="13" style="24" customWidth="1"/>
    <col min="37" max="16384" width="9.140625" style="24"/>
  </cols>
  <sheetData>
    <row r="1" spans="1:36" ht="18.75" x14ac:dyDescent="0.25">
      <c r="A1" s="186" t="s">
        <v>82</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row>
    <row r="2" spans="1:36" ht="45" customHeight="1" x14ac:dyDescent="0.25">
      <c r="A2" s="187" t="s">
        <v>50</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row>
    <row r="3" spans="1:36" s="26" customFormat="1" ht="24.75" customHeight="1" x14ac:dyDescent="0.25">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row>
    <row r="4" spans="1:36" ht="23.25" customHeight="1" x14ac:dyDescent="0.25">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row>
    <row r="5" spans="1:36" s="27" customFormat="1" ht="34.5" customHeight="1" x14ac:dyDescent="0.25">
      <c r="A5" s="161" t="s">
        <v>6</v>
      </c>
      <c r="B5" s="161" t="s">
        <v>47</v>
      </c>
      <c r="C5" s="183" t="s">
        <v>79</v>
      </c>
      <c r="D5" s="184"/>
      <c r="E5" s="184"/>
      <c r="F5" s="184"/>
      <c r="G5" s="185"/>
      <c r="H5" s="183" t="s">
        <v>80</v>
      </c>
      <c r="I5" s="184"/>
      <c r="J5" s="184"/>
      <c r="K5" s="184"/>
      <c r="L5" s="185"/>
      <c r="M5" s="183" t="s">
        <v>73</v>
      </c>
      <c r="N5" s="184"/>
      <c r="O5" s="184"/>
      <c r="P5" s="184"/>
      <c r="Q5" s="185"/>
      <c r="R5" s="183" t="s">
        <v>74</v>
      </c>
      <c r="S5" s="184"/>
      <c r="T5" s="184"/>
      <c r="U5" s="184"/>
      <c r="V5" s="185"/>
      <c r="W5" s="183" t="s">
        <v>75</v>
      </c>
      <c r="X5" s="184"/>
      <c r="Y5" s="184"/>
      <c r="Z5" s="184"/>
      <c r="AA5" s="185"/>
      <c r="AB5" s="183" t="s">
        <v>76</v>
      </c>
      <c r="AC5" s="184"/>
      <c r="AD5" s="184"/>
      <c r="AE5" s="184"/>
      <c r="AF5" s="185"/>
      <c r="AG5" s="161" t="s">
        <v>8</v>
      </c>
    </row>
    <row r="6" spans="1:36" s="27" customFormat="1" ht="15.75" customHeight="1" x14ac:dyDescent="0.25">
      <c r="A6" s="161"/>
      <c r="B6" s="161"/>
      <c r="C6" s="179" t="s">
        <v>64</v>
      </c>
      <c r="D6" s="179" t="s">
        <v>52</v>
      </c>
      <c r="E6" s="179" t="s">
        <v>46</v>
      </c>
      <c r="F6" s="181" t="s">
        <v>9</v>
      </c>
      <c r="G6" s="182"/>
      <c r="H6" s="179" t="s">
        <v>64</v>
      </c>
      <c r="I6" s="179" t="s">
        <v>52</v>
      </c>
      <c r="J6" s="179" t="s">
        <v>46</v>
      </c>
      <c r="K6" s="181" t="s">
        <v>9</v>
      </c>
      <c r="L6" s="182"/>
      <c r="M6" s="179" t="s">
        <v>64</v>
      </c>
      <c r="N6" s="179" t="s">
        <v>52</v>
      </c>
      <c r="O6" s="179" t="s">
        <v>46</v>
      </c>
      <c r="P6" s="181" t="s">
        <v>9</v>
      </c>
      <c r="Q6" s="182"/>
      <c r="R6" s="179" t="s">
        <v>64</v>
      </c>
      <c r="S6" s="179" t="s">
        <v>52</v>
      </c>
      <c r="T6" s="179" t="s">
        <v>46</v>
      </c>
      <c r="U6" s="181" t="s">
        <v>9</v>
      </c>
      <c r="V6" s="182"/>
      <c r="W6" s="179" t="s">
        <v>64</v>
      </c>
      <c r="X6" s="179" t="s">
        <v>52</v>
      </c>
      <c r="Y6" s="179" t="s">
        <v>46</v>
      </c>
      <c r="Z6" s="181" t="s">
        <v>9</v>
      </c>
      <c r="AA6" s="182"/>
      <c r="AB6" s="179" t="s">
        <v>64</v>
      </c>
      <c r="AC6" s="179" t="s">
        <v>52</v>
      </c>
      <c r="AD6" s="179" t="s">
        <v>46</v>
      </c>
      <c r="AE6" s="181" t="s">
        <v>9</v>
      </c>
      <c r="AF6" s="182"/>
      <c r="AG6" s="161"/>
    </row>
    <row r="7" spans="1:36" s="27" customFormat="1" ht="63" x14ac:dyDescent="0.25">
      <c r="A7" s="161"/>
      <c r="B7" s="161"/>
      <c r="C7" s="180"/>
      <c r="D7" s="180"/>
      <c r="E7" s="180"/>
      <c r="F7" s="38" t="s">
        <v>72</v>
      </c>
      <c r="G7" s="38" t="s">
        <v>51</v>
      </c>
      <c r="H7" s="180"/>
      <c r="I7" s="180"/>
      <c r="J7" s="180"/>
      <c r="K7" s="38" t="s">
        <v>72</v>
      </c>
      <c r="L7" s="38" t="s">
        <v>51</v>
      </c>
      <c r="M7" s="180"/>
      <c r="N7" s="180"/>
      <c r="O7" s="180"/>
      <c r="P7" s="38" t="s">
        <v>72</v>
      </c>
      <c r="Q7" s="38" t="s">
        <v>51</v>
      </c>
      <c r="R7" s="180"/>
      <c r="S7" s="180"/>
      <c r="T7" s="180"/>
      <c r="U7" s="38" t="s">
        <v>72</v>
      </c>
      <c r="V7" s="38" t="s">
        <v>51</v>
      </c>
      <c r="W7" s="180"/>
      <c r="X7" s="180"/>
      <c r="Y7" s="180"/>
      <c r="Z7" s="38" t="s">
        <v>72</v>
      </c>
      <c r="AA7" s="38" t="s">
        <v>51</v>
      </c>
      <c r="AB7" s="180"/>
      <c r="AC7" s="180"/>
      <c r="AD7" s="180"/>
      <c r="AE7" s="38" t="s">
        <v>72</v>
      </c>
      <c r="AF7" s="38" t="s">
        <v>51</v>
      </c>
      <c r="AG7" s="161"/>
      <c r="AH7" s="73"/>
      <c r="AI7" s="74"/>
    </row>
    <row r="8" spans="1:36" s="29" customFormat="1" ht="15.75" customHeight="1" x14ac:dyDescent="0.25">
      <c r="A8" s="28">
        <v>1</v>
      </c>
      <c r="B8" s="41" t="s">
        <v>48</v>
      </c>
      <c r="C8" s="37">
        <v>8</v>
      </c>
      <c r="D8" s="28">
        <v>9</v>
      </c>
      <c r="E8" s="37">
        <v>10</v>
      </c>
      <c r="F8" s="28">
        <v>11</v>
      </c>
      <c r="G8" s="37">
        <v>12</v>
      </c>
      <c r="H8" s="28">
        <v>13</v>
      </c>
      <c r="I8" s="37">
        <v>14</v>
      </c>
      <c r="J8" s="28">
        <v>15</v>
      </c>
      <c r="K8" s="37">
        <v>16</v>
      </c>
      <c r="L8" s="28">
        <v>17</v>
      </c>
      <c r="M8" s="37">
        <v>18</v>
      </c>
      <c r="N8" s="28">
        <v>19</v>
      </c>
      <c r="O8" s="37">
        <v>20</v>
      </c>
      <c r="P8" s="28">
        <v>21</v>
      </c>
      <c r="Q8" s="37">
        <v>22</v>
      </c>
      <c r="R8" s="28">
        <v>23</v>
      </c>
      <c r="S8" s="37">
        <v>24</v>
      </c>
      <c r="T8" s="28">
        <v>25</v>
      </c>
      <c r="U8" s="37">
        <v>26</v>
      </c>
      <c r="V8" s="28">
        <v>27</v>
      </c>
      <c r="W8" s="37">
        <v>28</v>
      </c>
      <c r="X8" s="28">
        <v>29</v>
      </c>
      <c r="Y8" s="37">
        <v>30</v>
      </c>
      <c r="Z8" s="28">
        <v>31</v>
      </c>
      <c r="AA8" s="37">
        <v>32</v>
      </c>
      <c r="AB8" s="28">
        <v>33</v>
      </c>
      <c r="AC8" s="37">
        <v>34</v>
      </c>
      <c r="AD8" s="28">
        <v>35</v>
      </c>
      <c r="AE8" s="37">
        <v>36</v>
      </c>
      <c r="AF8" s="28">
        <v>37</v>
      </c>
      <c r="AG8" s="37">
        <v>48</v>
      </c>
    </row>
    <row r="9" spans="1:36" s="30" customFormat="1" x14ac:dyDescent="0.25">
      <c r="A9" s="5"/>
      <c r="B9" s="20" t="s">
        <v>18</v>
      </c>
      <c r="C9" s="56">
        <f t="shared" ref="C9:AF9" si="0">C10+C33</f>
        <v>660.81960000000004</v>
      </c>
      <c r="D9" s="56">
        <f t="shared" si="0"/>
        <v>264.327</v>
      </c>
      <c r="E9" s="56">
        <f t="shared" si="0"/>
        <v>396.49260000000004</v>
      </c>
      <c r="F9" s="56">
        <f t="shared" si="0"/>
        <v>264.32800000000003</v>
      </c>
      <c r="G9" s="56">
        <f t="shared" si="0"/>
        <v>132.16460000000001</v>
      </c>
      <c r="H9" s="56">
        <f t="shared" si="0"/>
        <v>0</v>
      </c>
      <c r="I9" s="56">
        <f t="shared" si="0"/>
        <v>0</v>
      </c>
      <c r="J9" s="56">
        <f t="shared" si="0"/>
        <v>0</v>
      </c>
      <c r="K9" s="56">
        <f t="shared" si="0"/>
        <v>0</v>
      </c>
      <c r="L9" s="56">
        <f t="shared" si="0"/>
        <v>0</v>
      </c>
      <c r="M9" s="56">
        <f t="shared" si="0"/>
        <v>2097.1705499999994</v>
      </c>
      <c r="N9" s="56">
        <f t="shared" si="0"/>
        <v>896.17380000000003</v>
      </c>
      <c r="O9" s="56">
        <f t="shared" si="0"/>
        <v>1189.0952</v>
      </c>
      <c r="P9" s="56">
        <f t="shared" si="0"/>
        <v>816.99680000000001</v>
      </c>
      <c r="Q9" s="56">
        <f t="shared" si="0"/>
        <v>371.9984</v>
      </c>
      <c r="R9" s="56">
        <f t="shared" si="0"/>
        <v>11.901549999999588</v>
      </c>
      <c r="S9" s="56">
        <f t="shared" si="0"/>
        <v>0</v>
      </c>
      <c r="T9" s="56">
        <f t="shared" si="0"/>
        <v>0</v>
      </c>
      <c r="U9" s="56">
        <f t="shared" si="0"/>
        <v>0</v>
      </c>
      <c r="V9" s="56">
        <f t="shared" si="0"/>
        <v>0</v>
      </c>
      <c r="W9" s="56">
        <f t="shared" si="0"/>
        <v>20734</v>
      </c>
      <c r="X9" s="56">
        <f t="shared" si="0"/>
        <v>16138</v>
      </c>
      <c r="Y9" s="56">
        <f t="shared" si="0"/>
        <v>4596</v>
      </c>
      <c r="Z9" s="56">
        <f t="shared" si="0"/>
        <v>3126</v>
      </c>
      <c r="AA9" s="56">
        <f t="shared" si="0"/>
        <v>1470</v>
      </c>
      <c r="AB9" s="56">
        <f t="shared" si="0"/>
        <v>12416.583999999999</v>
      </c>
      <c r="AC9" s="56">
        <f t="shared" si="0"/>
        <v>12416.583999999999</v>
      </c>
      <c r="AD9" s="56">
        <f t="shared" si="0"/>
        <v>0</v>
      </c>
      <c r="AE9" s="56">
        <f t="shared" si="0"/>
        <v>0</v>
      </c>
      <c r="AF9" s="56">
        <f t="shared" si="0"/>
        <v>0</v>
      </c>
      <c r="AG9" s="57"/>
      <c r="AH9" s="75">
        <f>C9+M9+W9</f>
        <v>23491.990149999998</v>
      </c>
      <c r="AI9" s="44">
        <f>AH9+'PL 2 GNBV'!AB6</f>
        <v>36145.82015</v>
      </c>
      <c r="AJ9" s="44"/>
    </row>
    <row r="10" spans="1:36" s="30" customFormat="1" x14ac:dyDescent="0.25">
      <c r="A10" s="5" t="s">
        <v>86</v>
      </c>
      <c r="B10" s="20" t="s">
        <v>87</v>
      </c>
      <c r="C10" s="56">
        <f t="shared" ref="C10:AF10" si="1">C11+C14+C21+C23+C25+C30+C32</f>
        <v>660.81960000000004</v>
      </c>
      <c r="D10" s="56">
        <f t="shared" si="1"/>
        <v>264.327</v>
      </c>
      <c r="E10" s="56">
        <f t="shared" si="1"/>
        <v>396.49260000000004</v>
      </c>
      <c r="F10" s="56">
        <f t="shared" si="1"/>
        <v>264.32800000000003</v>
      </c>
      <c r="G10" s="56">
        <f t="shared" si="1"/>
        <v>132.16460000000001</v>
      </c>
      <c r="H10" s="56">
        <f t="shared" si="1"/>
        <v>0</v>
      </c>
      <c r="I10" s="56">
        <f t="shared" si="1"/>
        <v>0</v>
      </c>
      <c r="J10" s="56">
        <f t="shared" si="1"/>
        <v>0</v>
      </c>
      <c r="K10" s="56">
        <f t="shared" si="1"/>
        <v>0</v>
      </c>
      <c r="L10" s="56">
        <f t="shared" si="1"/>
        <v>0</v>
      </c>
      <c r="M10" s="56">
        <f t="shared" si="1"/>
        <v>2085.2689999999998</v>
      </c>
      <c r="N10" s="56">
        <f t="shared" si="1"/>
        <v>896.17380000000003</v>
      </c>
      <c r="O10" s="56">
        <f t="shared" si="1"/>
        <v>1189.0952</v>
      </c>
      <c r="P10" s="56">
        <f t="shared" si="1"/>
        <v>816.99680000000001</v>
      </c>
      <c r="Q10" s="56">
        <f t="shared" si="1"/>
        <v>371.9984</v>
      </c>
      <c r="R10" s="56">
        <f t="shared" si="1"/>
        <v>0</v>
      </c>
      <c r="S10" s="56">
        <f t="shared" si="1"/>
        <v>0</v>
      </c>
      <c r="T10" s="56">
        <f t="shared" si="1"/>
        <v>0</v>
      </c>
      <c r="U10" s="56">
        <f t="shared" si="1"/>
        <v>0</v>
      </c>
      <c r="V10" s="56">
        <f t="shared" si="1"/>
        <v>0</v>
      </c>
      <c r="W10" s="56">
        <f t="shared" si="1"/>
        <v>7660</v>
      </c>
      <c r="X10" s="56">
        <f t="shared" si="1"/>
        <v>3064</v>
      </c>
      <c r="Y10" s="56">
        <f t="shared" si="1"/>
        <v>4596</v>
      </c>
      <c r="Z10" s="56">
        <f t="shared" si="1"/>
        <v>3126</v>
      </c>
      <c r="AA10" s="56">
        <f t="shared" si="1"/>
        <v>1470</v>
      </c>
      <c r="AB10" s="56">
        <f t="shared" si="1"/>
        <v>0</v>
      </c>
      <c r="AC10" s="56">
        <f t="shared" si="1"/>
        <v>0</v>
      </c>
      <c r="AD10" s="56">
        <f t="shared" si="1"/>
        <v>0</v>
      </c>
      <c r="AE10" s="56">
        <f t="shared" si="1"/>
        <v>0</v>
      </c>
      <c r="AF10" s="56">
        <f t="shared" si="1"/>
        <v>0</v>
      </c>
      <c r="AG10" s="57"/>
      <c r="AH10" s="75">
        <f t="shared" ref="AH10:AH42" si="2">C10+M10+W10</f>
        <v>10406.088599999999</v>
      </c>
      <c r="AI10" s="44"/>
    </row>
    <row r="11" spans="1:36" s="31" customFormat="1" ht="36.75" customHeight="1" x14ac:dyDescent="0.25">
      <c r="A11" s="5" t="s">
        <v>1</v>
      </c>
      <c r="B11" s="16" t="s">
        <v>39</v>
      </c>
      <c r="C11" s="58"/>
      <c r="D11" s="58"/>
      <c r="E11" s="58"/>
      <c r="F11" s="58"/>
      <c r="G11" s="58"/>
      <c r="H11" s="58">
        <f t="shared" ref="H11:AF11" si="3">H12+H13</f>
        <v>0</v>
      </c>
      <c r="I11" s="58">
        <f t="shared" si="3"/>
        <v>0</v>
      </c>
      <c r="J11" s="58">
        <f t="shared" si="3"/>
        <v>0</v>
      </c>
      <c r="K11" s="58">
        <f t="shared" si="3"/>
        <v>0</v>
      </c>
      <c r="L11" s="58">
        <f t="shared" si="3"/>
        <v>0</v>
      </c>
      <c r="M11" s="58">
        <v>78</v>
      </c>
      <c r="N11" s="58">
        <v>46.9</v>
      </c>
      <c r="O11" s="58">
        <v>31.1</v>
      </c>
      <c r="P11" s="58">
        <v>21</v>
      </c>
      <c r="Q11" s="58">
        <v>10</v>
      </c>
      <c r="R11" s="58">
        <f t="shared" si="3"/>
        <v>0</v>
      </c>
      <c r="S11" s="58">
        <f t="shared" si="3"/>
        <v>0</v>
      </c>
      <c r="T11" s="58">
        <f t="shared" si="3"/>
        <v>0</v>
      </c>
      <c r="U11" s="58">
        <f t="shared" si="3"/>
        <v>0</v>
      </c>
      <c r="V11" s="58">
        <f t="shared" si="3"/>
        <v>0</v>
      </c>
      <c r="W11" s="58">
        <f t="shared" si="3"/>
        <v>2250</v>
      </c>
      <c r="X11" s="58">
        <f t="shared" si="3"/>
        <v>900</v>
      </c>
      <c r="Y11" s="58">
        <f t="shared" si="3"/>
        <v>1350</v>
      </c>
      <c r="Z11" s="58">
        <f t="shared" si="3"/>
        <v>945</v>
      </c>
      <c r="AA11" s="58">
        <f t="shared" si="3"/>
        <v>405</v>
      </c>
      <c r="AB11" s="58">
        <f t="shared" si="3"/>
        <v>0</v>
      </c>
      <c r="AC11" s="58">
        <f t="shared" si="3"/>
        <v>0</v>
      </c>
      <c r="AD11" s="58">
        <f t="shared" si="3"/>
        <v>0</v>
      </c>
      <c r="AE11" s="58">
        <f t="shared" si="3"/>
        <v>0</v>
      </c>
      <c r="AF11" s="58">
        <f t="shared" si="3"/>
        <v>0</v>
      </c>
      <c r="AG11" s="59"/>
      <c r="AH11" s="75">
        <f t="shared" si="2"/>
        <v>2328</v>
      </c>
    </row>
    <row r="12" spans="1:36" s="32" customFormat="1" ht="31.5" x14ac:dyDescent="0.25">
      <c r="A12" s="8">
        <v>2</v>
      </c>
      <c r="B12" s="17" t="s">
        <v>55</v>
      </c>
      <c r="C12" s="42"/>
      <c r="D12" s="42"/>
      <c r="E12" s="42"/>
      <c r="F12" s="42"/>
      <c r="G12" s="42"/>
      <c r="H12" s="42"/>
      <c r="I12" s="42"/>
      <c r="J12" s="42"/>
      <c r="K12" s="42"/>
      <c r="L12" s="42"/>
      <c r="M12" s="42">
        <v>78</v>
      </c>
      <c r="N12" s="42">
        <v>46.9</v>
      </c>
      <c r="O12" s="42">
        <v>31.1</v>
      </c>
      <c r="P12" s="42">
        <v>21</v>
      </c>
      <c r="Q12" s="42">
        <v>10</v>
      </c>
      <c r="R12" s="42"/>
      <c r="S12" s="42"/>
      <c r="T12" s="42"/>
      <c r="U12" s="42"/>
      <c r="V12" s="42"/>
      <c r="W12" s="42">
        <f>X12+Y12</f>
        <v>1250</v>
      </c>
      <c r="X12" s="42">
        <v>500</v>
      </c>
      <c r="Y12" s="42">
        <f>Z12+AA12</f>
        <v>750</v>
      </c>
      <c r="Z12" s="42">
        <v>525</v>
      </c>
      <c r="AA12" s="42">
        <v>225</v>
      </c>
      <c r="AB12" s="42"/>
      <c r="AC12" s="42"/>
      <c r="AD12" s="42"/>
      <c r="AE12" s="42"/>
      <c r="AF12" s="42"/>
      <c r="AG12" s="59"/>
      <c r="AH12" s="75">
        <f t="shared" si="2"/>
        <v>1328</v>
      </c>
      <c r="AI12" s="45"/>
    </row>
    <row r="13" spans="1:36" s="32" customFormat="1" ht="31.5" x14ac:dyDescent="0.25">
      <c r="A13" s="8">
        <v>3</v>
      </c>
      <c r="B13" s="17" t="s">
        <v>56</v>
      </c>
      <c r="C13" s="42">
        <f t="shared" ref="C13:C22" si="4">D13+E13</f>
        <v>0</v>
      </c>
      <c r="D13" s="42"/>
      <c r="E13" s="42"/>
      <c r="F13" s="42"/>
      <c r="G13" s="42"/>
      <c r="H13" s="42"/>
      <c r="I13" s="42"/>
      <c r="J13" s="42"/>
      <c r="K13" s="42"/>
      <c r="L13" s="42"/>
      <c r="M13" s="42"/>
      <c r="N13" s="42"/>
      <c r="O13" s="42"/>
      <c r="P13" s="42"/>
      <c r="Q13" s="42"/>
      <c r="R13" s="42"/>
      <c r="S13" s="42"/>
      <c r="T13" s="42"/>
      <c r="U13" s="42"/>
      <c r="V13" s="42"/>
      <c r="W13" s="42">
        <f>X13+Y13</f>
        <v>1000</v>
      </c>
      <c r="X13" s="42">
        <v>400</v>
      </c>
      <c r="Y13" s="42">
        <f>Z13+AA13</f>
        <v>600</v>
      </c>
      <c r="Z13" s="42">
        <v>420</v>
      </c>
      <c r="AA13" s="42">
        <v>180</v>
      </c>
      <c r="AB13" s="42"/>
      <c r="AC13" s="42"/>
      <c r="AD13" s="42"/>
      <c r="AE13" s="42"/>
      <c r="AF13" s="42"/>
      <c r="AG13" s="59"/>
      <c r="AH13" s="75">
        <f t="shared" si="2"/>
        <v>1000</v>
      </c>
      <c r="AI13" s="45"/>
    </row>
    <row r="14" spans="1:36" s="31" customFormat="1" ht="31.5" x14ac:dyDescent="0.25">
      <c r="A14" s="5" t="s">
        <v>2</v>
      </c>
      <c r="B14" s="16" t="s">
        <v>40</v>
      </c>
      <c r="C14" s="56">
        <f t="shared" ref="C14:AF14" si="5">C15+C16+C17</f>
        <v>640.81960000000004</v>
      </c>
      <c r="D14" s="56">
        <f t="shared" si="5"/>
        <v>256.327</v>
      </c>
      <c r="E14" s="56">
        <f t="shared" si="5"/>
        <v>384.49260000000004</v>
      </c>
      <c r="F14" s="56">
        <f t="shared" si="5"/>
        <v>256.32800000000003</v>
      </c>
      <c r="G14" s="56">
        <f t="shared" si="5"/>
        <v>128.16460000000001</v>
      </c>
      <c r="H14" s="56">
        <f t="shared" si="5"/>
        <v>0</v>
      </c>
      <c r="I14" s="56">
        <f t="shared" si="5"/>
        <v>0</v>
      </c>
      <c r="J14" s="56">
        <f t="shared" si="5"/>
        <v>0</v>
      </c>
      <c r="K14" s="56">
        <f t="shared" si="5"/>
        <v>0</v>
      </c>
      <c r="L14" s="56">
        <f t="shared" si="5"/>
        <v>0</v>
      </c>
      <c r="M14" s="56">
        <f t="shared" si="5"/>
        <v>515.54199999999992</v>
      </c>
      <c r="N14" s="56">
        <f t="shared" si="5"/>
        <v>252.583</v>
      </c>
      <c r="O14" s="56">
        <f t="shared" si="5"/>
        <v>262.95899999999995</v>
      </c>
      <c r="P14" s="56">
        <f t="shared" si="5"/>
        <v>175.30599999999998</v>
      </c>
      <c r="Q14" s="56">
        <f t="shared" si="5"/>
        <v>87.652999999999992</v>
      </c>
      <c r="R14" s="56">
        <f t="shared" si="5"/>
        <v>0</v>
      </c>
      <c r="S14" s="56">
        <f t="shared" si="5"/>
        <v>0</v>
      </c>
      <c r="T14" s="56">
        <f t="shared" si="5"/>
        <v>0</v>
      </c>
      <c r="U14" s="56">
        <f t="shared" si="5"/>
        <v>0</v>
      </c>
      <c r="V14" s="56">
        <f t="shared" si="5"/>
        <v>0</v>
      </c>
      <c r="W14" s="56">
        <f t="shared" si="5"/>
        <v>2635</v>
      </c>
      <c r="X14" s="56">
        <f t="shared" si="5"/>
        <v>1054</v>
      </c>
      <c r="Y14" s="56">
        <f t="shared" si="5"/>
        <v>1581</v>
      </c>
      <c r="Z14" s="56">
        <f t="shared" si="5"/>
        <v>1071</v>
      </c>
      <c r="AA14" s="56">
        <f t="shared" si="5"/>
        <v>510</v>
      </c>
      <c r="AB14" s="56">
        <f t="shared" si="5"/>
        <v>0</v>
      </c>
      <c r="AC14" s="56">
        <f t="shared" si="5"/>
        <v>0</v>
      </c>
      <c r="AD14" s="56">
        <f t="shared" si="5"/>
        <v>0</v>
      </c>
      <c r="AE14" s="56">
        <f t="shared" si="5"/>
        <v>0</v>
      </c>
      <c r="AF14" s="56">
        <f t="shared" si="5"/>
        <v>0</v>
      </c>
      <c r="AG14" s="59"/>
      <c r="AH14" s="75">
        <f>AH15+AH16+AH17</f>
        <v>3791.3615999999997</v>
      </c>
      <c r="AI14" s="46"/>
    </row>
    <row r="15" spans="1:36" s="3" customFormat="1" ht="63" x14ac:dyDescent="0.25">
      <c r="A15" s="8">
        <v>1</v>
      </c>
      <c r="B15" s="17" t="s">
        <v>57</v>
      </c>
      <c r="C15" s="42">
        <f t="shared" si="4"/>
        <v>269.47460000000001</v>
      </c>
      <c r="D15" s="42">
        <v>107.789</v>
      </c>
      <c r="E15" s="42">
        <v>161.68559999999999</v>
      </c>
      <c r="F15" s="42">
        <v>107.79</v>
      </c>
      <c r="G15" s="42">
        <f>E15-F15</f>
        <v>53.895599999999988</v>
      </c>
      <c r="H15" s="42"/>
      <c r="I15" s="42"/>
      <c r="J15" s="42"/>
      <c r="K15" s="42"/>
      <c r="L15" s="42"/>
      <c r="M15" s="42">
        <v>174.136</v>
      </c>
      <c r="N15" s="42">
        <v>104.482</v>
      </c>
      <c r="O15" s="42">
        <v>69.653999999999996</v>
      </c>
      <c r="P15" s="42">
        <v>46.436</v>
      </c>
      <c r="Q15" s="42">
        <v>23.218</v>
      </c>
      <c r="R15" s="42"/>
      <c r="S15" s="42"/>
      <c r="T15" s="42"/>
      <c r="U15" s="42"/>
      <c r="V15" s="42"/>
      <c r="W15" s="42">
        <f>X15+Y15</f>
        <v>150</v>
      </c>
      <c r="X15" s="42">
        <v>60</v>
      </c>
      <c r="Y15" s="42">
        <f>Z15+AA15</f>
        <v>90</v>
      </c>
      <c r="Z15" s="42">
        <v>63</v>
      </c>
      <c r="AA15" s="42">
        <v>27</v>
      </c>
      <c r="AB15" s="42"/>
      <c r="AC15" s="42"/>
      <c r="AD15" s="42"/>
      <c r="AE15" s="42"/>
      <c r="AF15" s="42"/>
      <c r="AG15" s="60"/>
      <c r="AH15" s="75">
        <f t="shared" si="2"/>
        <v>593.61059999999998</v>
      </c>
    </row>
    <row r="16" spans="1:36" s="31" customFormat="1" ht="63" x14ac:dyDescent="0.25">
      <c r="A16" s="8">
        <v>2</v>
      </c>
      <c r="B16" s="17" t="s">
        <v>58</v>
      </c>
      <c r="C16" s="42">
        <f t="shared" si="4"/>
        <v>0</v>
      </c>
      <c r="D16" s="42"/>
      <c r="E16" s="42"/>
      <c r="F16" s="42"/>
      <c r="G16" s="42"/>
      <c r="H16" s="42"/>
      <c r="I16" s="42"/>
      <c r="J16" s="42"/>
      <c r="K16" s="42"/>
      <c r="L16" s="42"/>
      <c r="M16" s="42">
        <f>N16+O16</f>
        <v>57.691000000000003</v>
      </c>
      <c r="N16" s="42">
        <v>34.615000000000002</v>
      </c>
      <c r="O16" s="42">
        <v>23.076000000000001</v>
      </c>
      <c r="P16" s="42">
        <v>15.384</v>
      </c>
      <c r="Q16" s="42">
        <v>7.6920000000000002</v>
      </c>
      <c r="R16" s="42"/>
      <c r="S16" s="42"/>
      <c r="T16" s="42"/>
      <c r="U16" s="42"/>
      <c r="V16" s="42"/>
      <c r="W16" s="42">
        <f>X16+Y16</f>
        <v>1500</v>
      </c>
      <c r="X16" s="42">
        <v>600</v>
      </c>
      <c r="Y16" s="42">
        <f>Z16+AA16</f>
        <v>900</v>
      </c>
      <c r="Z16" s="42">
        <v>600</v>
      </c>
      <c r="AA16" s="42">
        <v>300</v>
      </c>
      <c r="AB16" s="42"/>
      <c r="AC16" s="42"/>
      <c r="AD16" s="42"/>
      <c r="AE16" s="42"/>
      <c r="AF16" s="42"/>
      <c r="AG16" s="59"/>
      <c r="AH16" s="75">
        <f>C16+M16+W16</f>
        <v>1557.691</v>
      </c>
      <c r="AI16" s="76"/>
      <c r="AJ16" s="76"/>
    </row>
    <row r="17" spans="1:35" s="3" customFormat="1" ht="47.25" customHeight="1" x14ac:dyDescent="0.25">
      <c r="A17" s="8">
        <v>3</v>
      </c>
      <c r="B17" s="17" t="s">
        <v>59</v>
      </c>
      <c r="C17" s="42">
        <f>C18+C19+C20</f>
        <v>371.34500000000003</v>
      </c>
      <c r="D17" s="42">
        <f t="shared" ref="D17:AF17" si="6">D18+D19+D20</f>
        <v>148.53800000000001</v>
      </c>
      <c r="E17" s="42">
        <f t="shared" si="6"/>
        <v>222.80700000000002</v>
      </c>
      <c r="F17" s="42">
        <f t="shared" si="6"/>
        <v>148.53800000000001</v>
      </c>
      <c r="G17" s="42">
        <f t="shared" si="6"/>
        <v>74.269000000000005</v>
      </c>
      <c r="H17" s="42">
        <f t="shared" si="6"/>
        <v>0</v>
      </c>
      <c r="I17" s="42">
        <f t="shared" si="6"/>
        <v>0</v>
      </c>
      <c r="J17" s="42">
        <f t="shared" si="6"/>
        <v>0</v>
      </c>
      <c r="K17" s="42">
        <f t="shared" si="6"/>
        <v>0</v>
      </c>
      <c r="L17" s="42">
        <f t="shared" si="6"/>
        <v>0</v>
      </c>
      <c r="M17" s="42">
        <f t="shared" si="6"/>
        <v>283.71499999999997</v>
      </c>
      <c r="N17" s="42">
        <f t="shared" si="6"/>
        <v>113.48599999999999</v>
      </c>
      <c r="O17" s="42">
        <f t="shared" si="6"/>
        <v>170.22899999999998</v>
      </c>
      <c r="P17" s="42">
        <f t="shared" si="6"/>
        <v>113.48599999999999</v>
      </c>
      <c r="Q17" s="42">
        <f t="shared" si="6"/>
        <v>56.742999999999995</v>
      </c>
      <c r="R17" s="42">
        <f t="shared" si="6"/>
        <v>0</v>
      </c>
      <c r="S17" s="42">
        <f t="shared" si="6"/>
        <v>0</v>
      </c>
      <c r="T17" s="42">
        <f t="shared" si="6"/>
        <v>0</v>
      </c>
      <c r="U17" s="42">
        <f t="shared" si="6"/>
        <v>0</v>
      </c>
      <c r="V17" s="42">
        <f t="shared" si="6"/>
        <v>0</v>
      </c>
      <c r="W17" s="42">
        <f>X17+Y17</f>
        <v>985</v>
      </c>
      <c r="X17" s="42">
        <f>120+274</f>
        <v>394</v>
      </c>
      <c r="Y17" s="42">
        <f>Z17+AA17</f>
        <v>591</v>
      </c>
      <c r="Z17" s="42">
        <f>120+288</f>
        <v>408</v>
      </c>
      <c r="AA17" s="42">
        <f>60+123</f>
        <v>183</v>
      </c>
      <c r="AB17" s="42">
        <f t="shared" si="6"/>
        <v>0</v>
      </c>
      <c r="AC17" s="42">
        <f t="shared" si="6"/>
        <v>0</v>
      </c>
      <c r="AD17" s="42">
        <f t="shared" si="6"/>
        <v>0</v>
      </c>
      <c r="AE17" s="42">
        <f t="shared" si="6"/>
        <v>0</v>
      </c>
      <c r="AF17" s="42">
        <f t="shared" si="6"/>
        <v>0</v>
      </c>
      <c r="AG17" s="59"/>
      <c r="AH17" s="75">
        <f t="shared" si="2"/>
        <v>1640.06</v>
      </c>
    </row>
    <row r="18" spans="1:35" s="3" customFormat="1" x14ac:dyDescent="0.25">
      <c r="A18" s="8" t="s">
        <v>10</v>
      </c>
      <c r="B18" s="17" t="s">
        <v>11</v>
      </c>
      <c r="C18" s="61">
        <f>D18+E18</f>
        <v>93.985000000000014</v>
      </c>
      <c r="D18" s="62">
        <v>37.594000000000001</v>
      </c>
      <c r="E18" s="42">
        <f>F18+G18</f>
        <v>56.391000000000005</v>
      </c>
      <c r="F18" s="42">
        <v>37.594000000000001</v>
      </c>
      <c r="G18" s="42">
        <v>18.797000000000001</v>
      </c>
      <c r="H18" s="42"/>
      <c r="I18" s="42"/>
      <c r="J18" s="42"/>
      <c r="K18" s="42"/>
      <c r="L18" s="42"/>
      <c r="M18" s="42">
        <v>176.19499999999999</v>
      </c>
      <c r="N18" s="42">
        <f>M18*40%</f>
        <v>70.477999999999994</v>
      </c>
      <c r="O18" s="42">
        <f>M18*60%</f>
        <v>105.717</v>
      </c>
      <c r="P18" s="42">
        <f>O18/15*10</f>
        <v>70.477999999999994</v>
      </c>
      <c r="Q18" s="42">
        <f>O18/15*5</f>
        <v>35.238999999999997</v>
      </c>
      <c r="R18" s="42"/>
      <c r="S18" s="42"/>
      <c r="T18" s="42"/>
      <c r="U18" s="42"/>
      <c r="V18" s="42"/>
      <c r="W18" s="42"/>
      <c r="X18" s="42"/>
      <c r="Y18" s="42"/>
      <c r="Z18" s="42"/>
      <c r="AA18" s="42"/>
      <c r="AB18" s="42"/>
      <c r="AC18" s="42"/>
      <c r="AD18" s="42"/>
      <c r="AE18" s="42"/>
      <c r="AF18" s="42"/>
      <c r="AG18" s="59"/>
      <c r="AH18" s="75">
        <f t="shared" si="2"/>
        <v>270.18</v>
      </c>
    </row>
    <row r="19" spans="1:35" s="3" customFormat="1" x14ac:dyDescent="0.25">
      <c r="A19" s="8" t="s">
        <v>12</v>
      </c>
      <c r="B19" s="17" t="s">
        <v>13</v>
      </c>
      <c r="C19" s="61">
        <f t="shared" ref="C19" si="7">D19+E19</f>
        <v>277.36</v>
      </c>
      <c r="D19" s="62">
        <v>110.94400000000002</v>
      </c>
      <c r="E19" s="42">
        <f t="shared" ref="E19" si="8">F19+G19</f>
        <v>166.416</v>
      </c>
      <c r="F19" s="42">
        <v>110.944</v>
      </c>
      <c r="G19" s="42">
        <v>55.472000000000001</v>
      </c>
      <c r="H19" s="42"/>
      <c r="I19" s="42"/>
      <c r="J19" s="42"/>
      <c r="K19" s="42"/>
      <c r="L19" s="42"/>
      <c r="M19" s="42">
        <v>97.52</v>
      </c>
      <c r="N19" s="42">
        <f t="shared" ref="N19" si="9">M19*40%</f>
        <v>39.008000000000003</v>
      </c>
      <c r="O19" s="42">
        <f t="shared" ref="O19" si="10">M19*60%</f>
        <v>58.511999999999993</v>
      </c>
      <c r="P19" s="42">
        <f t="shared" ref="P19" si="11">O19/15*10</f>
        <v>39.007999999999996</v>
      </c>
      <c r="Q19" s="42">
        <f t="shared" ref="Q19" si="12">O19/15*5</f>
        <v>19.503999999999998</v>
      </c>
      <c r="R19" s="42"/>
      <c r="S19" s="42"/>
      <c r="T19" s="42"/>
      <c r="U19" s="42"/>
      <c r="V19" s="42"/>
      <c r="W19" s="42"/>
      <c r="X19" s="42"/>
      <c r="Y19" s="42"/>
      <c r="Z19" s="42"/>
      <c r="AA19" s="42"/>
      <c r="AB19" s="42"/>
      <c r="AC19" s="42"/>
      <c r="AD19" s="42"/>
      <c r="AE19" s="42"/>
      <c r="AF19" s="42"/>
      <c r="AG19" s="59"/>
      <c r="AH19" s="75">
        <f t="shared" si="2"/>
        <v>374.88</v>
      </c>
    </row>
    <row r="20" spans="1:35" s="3" customFormat="1" ht="31.5" x14ac:dyDescent="0.25">
      <c r="A20" s="8" t="s">
        <v>14</v>
      </c>
      <c r="B20" s="17" t="s">
        <v>15</v>
      </c>
      <c r="C20" s="42">
        <f t="shared" si="4"/>
        <v>0</v>
      </c>
      <c r="D20" s="42"/>
      <c r="E20" s="42"/>
      <c r="F20" s="42"/>
      <c r="G20" s="42"/>
      <c r="H20" s="42"/>
      <c r="I20" s="42"/>
      <c r="J20" s="42"/>
      <c r="K20" s="42"/>
      <c r="L20" s="42"/>
      <c r="M20" s="42">
        <f>N20+O20</f>
        <v>10</v>
      </c>
      <c r="N20" s="42">
        <v>4</v>
      </c>
      <c r="O20" s="42">
        <v>6</v>
      </c>
      <c r="P20" s="42">
        <v>4</v>
      </c>
      <c r="Q20" s="42">
        <v>2</v>
      </c>
      <c r="R20" s="42"/>
      <c r="S20" s="42"/>
      <c r="T20" s="42"/>
      <c r="U20" s="42"/>
      <c r="V20" s="42"/>
      <c r="W20" s="42"/>
      <c r="X20" s="42"/>
      <c r="Y20" s="42"/>
      <c r="Z20" s="42"/>
      <c r="AA20" s="42"/>
      <c r="AB20" s="42"/>
      <c r="AC20" s="42"/>
      <c r="AD20" s="42"/>
      <c r="AE20" s="42"/>
      <c r="AF20" s="42"/>
      <c r="AG20" s="59"/>
      <c r="AH20" s="75">
        <f t="shared" si="2"/>
        <v>10</v>
      </c>
    </row>
    <row r="21" spans="1:35" s="31" customFormat="1" ht="31.5" x14ac:dyDescent="0.25">
      <c r="A21" s="5" t="s">
        <v>3</v>
      </c>
      <c r="B21" s="16" t="s">
        <v>41</v>
      </c>
      <c r="C21" s="42">
        <f>C22</f>
        <v>0</v>
      </c>
      <c r="D21" s="42">
        <f t="shared" ref="D21:AF21" si="13">D22</f>
        <v>0</v>
      </c>
      <c r="E21" s="42">
        <f t="shared" si="13"/>
        <v>0</v>
      </c>
      <c r="F21" s="42">
        <f t="shared" si="13"/>
        <v>0</v>
      </c>
      <c r="G21" s="42">
        <f t="shared" si="13"/>
        <v>0</v>
      </c>
      <c r="H21" s="42">
        <f t="shared" si="13"/>
        <v>0</v>
      </c>
      <c r="I21" s="42">
        <f t="shared" si="13"/>
        <v>0</v>
      </c>
      <c r="J21" s="42">
        <f t="shared" si="13"/>
        <v>0</v>
      </c>
      <c r="K21" s="42">
        <f t="shared" si="13"/>
        <v>0</v>
      </c>
      <c r="L21" s="42">
        <f t="shared" si="13"/>
        <v>0</v>
      </c>
      <c r="M21" s="42">
        <f t="shared" si="13"/>
        <v>242.595</v>
      </c>
      <c r="N21" s="42">
        <f t="shared" si="13"/>
        <v>97.038000000000011</v>
      </c>
      <c r="O21" s="42">
        <f t="shared" si="13"/>
        <v>145.55699999999999</v>
      </c>
      <c r="P21" s="42">
        <f t="shared" si="13"/>
        <v>97.037999999999997</v>
      </c>
      <c r="Q21" s="42">
        <f t="shared" si="13"/>
        <v>48.518999999999998</v>
      </c>
      <c r="R21" s="42">
        <f t="shared" si="13"/>
        <v>0</v>
      </c>
      <c r="S21" s="42">
        <f t="shared" si="13"/>
        <v>0</v>
      </c>
      <c r="T21" s="42">
        <f t="shared" si="13"/>
        <v>0</v>
      </c>
      <c r="U21" s="42">
        <f t="shared" si="13"/>
        <v>0</v>
      </c>
      <c r="V21" s="42">
        <f t="shared" si="13"/>
        <v>0</v>
      </c>
      <c r="W21" s="42">
        <f t="shared" si="13"/>
        <v>300</v>
      </c>
      <c r="X21" s="42">
        <f t="shared" si="13"/>
        <v>120</v>
      </c>
      <c r="Y21" s="42">
        <f t="shared" si="13"/>
        <v>180</v>
      </c>
      <c r="Z21" s="42">
        <f t="shared" si="13"/>
        <v>120</v>
      </c>
      <c r="AA21" s="42">
        <f t="shared" si="13"/>
        <v>60</v>
      </c>
      <c r="AB21" s="42">
        <f t="shared" si="13"/>
        <v>0</v>
      </c>
      <c r="AC21" s="42">
        <f t="shared" si="13"/>
        <v>0</v>
      </c>
      <c r="AD21" s="42">
        <f t="shared" si="13"/>
        <v>0</v>
      </c>
      <c r="AE21" s="42">
        <f t="shared" si="13"/>
        <v>0</v>
      </c>
      <c r="AF21" s="42">
        <f t="shared" si="13"/>
        <v>0</v>
      </c>
      <c r="AG21" s="59"/>
      <c r="AH21" s="75">
        <f t="shared" si="2"/>
        <v>542.59500000000003</v>
      </c>
    </row>
    <row r="22" spans="1:35" s="3" customFormat="1" x14ac:dyDescent="0.25">
      <c r="A22" s="8">
        <v>1</v>
      </c>
      <c r="B22" s="17" t="s">
        <v>38</v>
      </c>
      <c r="C22" s="42">
        <f t="shared" si="4"/>
        <v>0</v>
      </c>
      <c r="D22" s="42"/>
      <c r="E22" s="42"/>
      <c r="F22" s="42"/>
      <c r="G22" s="42"/>
      <c r="H22" s="42"/>
      <c r="I22" s="42"/>
      <c r="J22" s="42"/>
      <c r="K22" s="42"/>
      <c r="L22" s="42"/>
      <c r="M22" s="42">
        <v>242.595</v>
      </c>
      <c r="N22" s="42">
        <v>97.038000000000011</v>
      </c>
      <c r="O22" s="42">
        <v>145.55699999999999</v>
      </c>
      <c r="P22" s="42">
        <v>97.037999999999997</v>
      </c>
      <c r="Q22" s="42">
        <v>48.518999999999998</v>
      </c>
      <c r="R22" s="42"/>
      <c r="S22" s="42"/>
      <c r="T22" s="42"/>
      <c r="U22" s="42"/>
      <c r="V22" s="42"/>
      <c r="W22" s="42">
        <f>X22+Y22</f>
        <v>300</v>
      </c>
      <c r="X22" s="42">
        <v>120</v>
      </c>
      <c r="Y22" s="42">
        <f>Z22+AA22</f>
        <v>180</v>
      </c>
      <c r="Z22" s="42">
        <v>120</v>
      </c>
      <c r="AA22" s="42">
        <v>60</v>
      </c>
      <c r="AB22" s="42"/>
      <c r="AC22" s="42"/>
      <c r="AD22" s="42"/>
      <c r="AE22" s="42"/>
      <c r="AF22" s="42"/>
      <c r="AG22" s="59"/>
      <c r="AH22" s="75">
        <f t="shared" si="2"/>
        <v>542.59500000000003</v>
      </c>
    </row>
    <row r="23" spans="1:35" s="31" customFormat="1" ht="47.25" x14ac:dyDescent="0.25">
      <c r="A23" s="5" t="s">
        <v>4</v>
      </c>
      <c r="B23" s="16" t="s">
        <v>42</v>
      </c>
      <c r="C23" s="42">
        <f>C24</f>
        <v>0</v>
      </c>
      <c r="D23" s="42">
        <f t="shared" ref="D23:AF23" si="14">D24</f>
        <v>0</v>
      </c>
      <c r="E23" s="42">
        <f t="shared" si="14"/>
        <v>0</v>
      </c>
      <c r="F23" s="42">
        <f t="shared" si="14"/>
        <v>0</v>
      </c>
      <c r="G23" s="42">
        <f t="shared" si="14"/>
        <v>0</v>
      </c>
      <c r="H23" s="42">
        <f t="shared" si="14"/>
        <v>0</v>
      </c>
      <c r="I23" s="42">
        <f t="shared" si="14"/>
        <v>0</v>
      </c>
      <c r="J23" s="42">
        <f t="shared" si="14"/>
        <v>0</v>
      </c>
      <c r="K23" s="42">
        <f t="shared" si="14"/>
        <v>0</v>
      </c>
      <c r="L23" s="42">
        <f t="shared" si="14"/>
        <v>0</v>
      </c>
      <c r="M23" s="42">
        <f t="shared" si="14"/>
        <v>15.28</v>
      </c>
      <c r="N23" s="42">
        <f t="shared" si="14"/>
        <v>6.1120000000000001</v>
      </c>
      <c r="O23" s="42">
        <f t="shared" si="14"/>
        <v>9.1679999999999993</v>
      </c>
      <c r="P23" s="42">
        <f t="shared" si="14"/>
        <v>6.1120000000000001</v>
      </c>
      <c r="Q23" s="42">
        <f t="shared" si="14"/>
        <v>3.056</v>
      </c>
      <c r="R23" s="42">
        <f t="shared" si="14"/>
        <v>0</v>
      </c>
      <c r="S23" s="42">
        <f t="shared" si="14"/>
        <v>0</v>
      </c>
      <c r="T23" s="42">
        <f t="shared" si="14"/>
        <v>0</v>
      </c>
      <c r="U23" s="42">
        <f t="shared" si="14"/>
        <v>0</v>
      </c>
      <c r="V23" s="42">
        <f t="shared" si="14"/>
        <v>0</v>
      </c>
      <c r="W23" s="42">
        <f t="shared" si="14"/>
        <v>1000</v>
      </c>
      <c r="X23" s="42">
        <f t="shared" si="14"/>
        <v>400</v>
      </c>
      <c r="Y23" s="42">
        <f t="shared" si="14"/>
        <v>600</v>
      </c>
      <c r="Z23" s="42">
        <f t="shared" si="14"/>
        <v>400</v>
      </c>
      <c r="AA23" s="42">
        <f t="shared" si="14"/>
        <v>200</v>
      </c>
      <c r="AB23" s="42">
        <f t="shared" si="14"/>
        <v>0</v>
      </c>
      <c r="AC23" s="42">
        <f t="shared" si="14"/>
        <v>0</v>
      </c>
      <c r="AD23" s="42">
        <f t="shared" si="14"/>
        <v>0</v>
      </c>
      <c r="AE23" s="42">
        <f t="shared" si="14"/>
        <v>0</v>
      </c>
      <c r="AF23" s="42">
        <f t="shared" si="14"/>
        <v>0</v>
      </c>
      <c r="AG23" s="59"/>
      <c r="AH23" s="75">
        <f t="shared" si="2"/>
        <v>1015.28</v>
      </c>
      <c r="AI23" s="46">
        <f>AH23-W23</f>
        <v>15.279999999999973</v>
      </c>
    </row>
    <row r="24" spans="1:35" s="3" customFormat="1" ht="47.25" x14ac:dyDescent="0.25">
      <c r="A24" s="8">
        <v>1</v>
      </c>
      <c r="B24" s="17" t="s">
        <v>43</v>
      </c>
      <c r="C24" s="42">
        <f t="shared" ref="C24:C31" si="15">D24+E24</f>
        <v>0</v>
      </c>
      <c r="D24" s="42"/>
      <c r="E24" s="42"/>
      <c r="F24" s="42"/>
      <c r="G24" s="42"/>
      <c r="H24" s="42"/>
      <c r="I24" s="42"/>
      <c r="J24" s="42"/>
      <c r="K24" s="42"/>
      <c r="L24" s="42"/>
      <c r="M24" s="42">
        <v>15.28</v>
      </c>
      <c r="N24" s="42">
        <v>6.1120000000000001</v>
      </c>
      <c r="O24" s="42">
        <v>9.1679999999999993</v>
      </c>
      <c r="P24" s="42">
        <v>6.1120000000000001</v>
      </c>
      <c r="Q24" s="42">
        <v>3.056</v>
      </c>
      <c r="R24" s="42"/>
      <c r="S24" s="42"/>
      <c r="T24" s="42"/>
      <c r="U24" s="42"/>
      <c r="V24" s="42"/>
      <c r="W24" s="42">
        <f>X24+Y24</f>
        <v>1000</v>
      </c>
      <c r="X24" s="42">
        <v>400</v>
      </c>
      <c r="Y24" s="42">
        <f>Z24+AA24</f>
        <v>600</v>
      </c>
      <c r="Z24" s="42">
        <v>400</v>
      </c>
      <c r="AA24" s="42">
        <v>200</v>
      </c>
      <c r="AB24" s="42"/>
      <c r="AC24" s="42"/>
      <c r="AD24" s="42"/>
      <c r="AE24" s="42"/>
      <c r="AF24" s="42"/>
      <c r="AG24" s="59"/>
      <c r="AH24" s="75">
        <f t="shared" si="2"/>
        <v>1015.28</v>
      </c>
    </row>
    <row r="25" spans="1:35" s="31" customFormat="1" ht="47.25" x14ac:dyDescent="0.25">
      <c r="A25" s="5" t="s">
        <v>5</v>
      </c>
      <c r="B25" s="16" t="s">
        <v>44</v>
      </c>
      <c r="C25" s="56">
        <f>C27+C26+C28+C29</f>
        <v>0</v>
      </c>
      <c r="D25" s="56">
        <f t="shared" ref="D25:AF25" si="16">D27+D26+D28+D29</f>
        <v>0</v>
      </c>
      <c r="E25" s="56">
        <f t="shared" si="16"/>
        <v>0</v>
      </c>
      <c r="F25" s="56">
        <f t="shared" si="16"/>
        <v>0</v>
      </c>
      <c r="G25" s="56">
        <f t="shared" si="16"/>
        <v>0</v>
      </c>
      <c r="H25" s="56">
        <f t="shared" si="16"/>
        <v>0</v>
      </c>
      <c r="I25" s="56">
        <f t="shared" si="16"/>
        <v>0</v>
      </c>
      <c r="J25" s="56">
        <f t="shared" si="16"/>
        <v>0</v>
      </c>
      <c r="K25" s="56">
        <f t="shared" si="16"/>
        <v>0</v>
      </c>
      <c r="L25" s="56">
        <f t="shared" si="16"/>
        <v>0</v>
      </c>
      <c r="M25" s="56">
        <f t="shared" si="16"/>
        <v>1200</v>
      </c>
      <c r="N25" s="56">
        <f t="shared" si="16"/>
        <v>480</v>
      </c>
      <c r="O25" s="56">
        <f t="shared" si="16"/>
        <v>720</v>
      </c>
      <c r="P25" s="56">
        <f t="shared" si="16"/>
        <v>504</v>
      </c>
      <c r="Q25" s="56">
        <f t="shared" si="16"/>
        <v>216</v>
      </c>
      <c r="R25" s="56">
        <f t="shared" si="16"/>
        <v>0</v>
      </c>
      <c r="S25" s="56">
        <f t="shared" si="16"/>
        <v>0</v>
      </c>
      <c r="T25" s="56">
        <f t="shared" si="16"/>
        <v>0</v>
      </c>
      <c r="U25" s="56">
        <f t="shared" si="16"/>
        <v>0</v>
      </c>
      <c r="V25" s="56">
        <f t="shared" si="16"/>
        <v>0</v>
      </c>
      <c r="W25" s="56">
        <f t="shared" si="16"/>
        <v>1450</v>
      </c>
      <c r="X25" s="56">
        <f t="shared" si="16"/>
        <v>580</v>
      </c>
      <c r="Y25" s="56">
        <f t="shared" si="16"/>
        <v>870</v>
      </c>
      <c r="Z25" s="56">
        <f t="shared" si="16"/>
        <v>580</v>
      </c>
      <c r="AA25" s="56">
        <f t="shared" si="16"/>
        <v>290</v>
      </c>
      <c r="AB25" s="56">
        <f t="shared" si="16"/>
        <v>0</v>
      </c>
      <c r="AC25" s="56">
        <f t="shared" si="16"/>
        <v>0</v>
      </c>
      <c r="AD25" s="56">
        <f t="shared" si="16"/>
        <v>0</v>
      </c>
      <c r="AE25" s="56">
        <f t="shared" si="16"/>
        <v>0</v>
      </c>
      <c r="AF25" s="56">
        <f t="shared" si="16"/>
        <v>0</v>
      </c>
      <c r="AG25" s="42">
        <f>AG26+AG28</f>
        <v>0</v>
      </c>
      <c r="AH25" s="75">
        <f>C25+M25+W25</f>
        <v>2650</v>
      </c>
    </row>
    <row r="26" spans="1:35" s="31" customFormat="1" ht="66" x14ac:dyDescent="0.25">
      <c r="A26" s="5">
        <v>1</v>
      </c>
      <c r="B26" s="43" t="s">
        <v>83</v>
      </c>
      <c r="C26" s="42"/>
      <c r="D26" s="42"/>
      <c r="E26" s="42"/>
      <c r="F26" s="42"/>
      <c r="G26" s="42"/>
      <c r="H26" s="42"/>
      <c r="I26" s="42"/>
      <c r="J26" s="42"/>
      <c r="K26" s="42"/>
      <c r="L26" s="42"/>
      <c r="M26" s="42">
        <f>N26+O26</f>
        <v>900</v>
      </c>
      <c r="N26" s="42">
        <v>360</v>
      </c>
      <c r="O26" s="42">
        <v>540</v>
      </c>
      <c r="P26" s="42">
        <v>378</v>
      </c>
      <c r="Q26" s="42">
        <v>162</v>
      </c>
      <c r="R26" s="42"/>
      <c r="S26" s="42"/>
      <c r="T26" s="42"/>
      <c r="U26" s="42"/>
      <c r="V26" s="42"/>
      <c r="W26" s="42"/>
      <c r="X26" s="42"/>
      <c r="Y26" s="42"/>
      <c r="Z26" s="42"/>
      <c r="AA26" s="42"/>
      <c r="AB26" s="42"/>
      <c r="AC26" s="42"/>
      <c r="AD26" s="42"/>
      <c r="AE26" s="42"/>
      <c r="AF26" s="42"/>
      <c r="AG26" s="60"/>
      <c r="AH26" s="75">
        <f t="shared" ref="AH26:AH29" si="17">C26+M26+W26</f>
        <v>900</v>
      </c>
    </row>
    <row r="27" spans="1:35" s="31" customFormat="1" ht="63" x14ac:dyDescent="0.25">
      <c r="A27" s="8">
        <v>2</v>
      </c>
      <c r="B27" s="17" t="s">
        <v>85</v>
      </c>
      <c r="C27" s="42"/>
      <c r="D27" s="42"/>
      <c r="E27" s="42"/>
      <c r="F27" s="42"/>
      <c r="G27" s="42"/>
      <c r="H27" s="42"/>
      <c r="I27" s="42"/>
      <c r="J27" s="42"/>
      <c r="K27" s="42"/>
      <c r="L27" s="42"/>
      <c r="M27" s="42"/>
      <c r="N27" s="42"/>
      <c r="O27" s="42"/>
      <c r="P27" s="42"/>
      <c r="Q27" s="42"/>
      <c r="R27" s="42"/>
      <c r="S27" s="42"/>
      <c r="T27" s="42"/>
      <c r="U27" s="42"/>
      <c r="V27" s="42"/>
      <c r="W27" s="42">
        <f>X27+Y27</f>
        <v>1250</v>
      </c>
      <c r="X27" s="42">
        <v>500</v>
      </c>
      <c r="Y27" s="42">
        <f>Z27+AA27</f>
        <v>750</v>
      </c>
      <c r="Z27" s="42">
        <v>500</v>
      </c>
      <c r="AA27" s="42">
        <v>250</v>
      </c>
      <c r="AB27" s="42"/>
      <c r="AC27" s="42"/>
      <c r="AD27" s="42"/>
      <c r="AE27" s="42"/>
      <c r="AF27" s="42"/>
      <c r="AG27" s="42"/>
      <c r="AH27" s="75">
        <f t="shared" si="17"/>
        <v>1250</v>
      </c>
    </row>
    <row r="28" spans="1:35" s="31" customFormat="1" ht="49.5" x14ac:dyDescent="0.25">
      <c r="A28" s="8">
        <v>3</v>
      </c>
      <c r="B28" s="43" t="s">
        <v>84</v>
      </c>
      <c r="C28" s="42"/>
      <c r="D28" s="42"/>
      <c r="E28" s="42"/>
      <c r="F28" s="42"/>
      <c r="G28" s="42"/>
      <c r="H28" s="42"/>
      <c r="I28" s="42"/>
      <c r="J28" s="42"/>
      <c r="K28" s="42"/>
      <c r="L28" s="42"/>
      <c r="M28" s="42">
        <f>N28+O28</f>
        <v>300</v>
      </c>
      <c r="N28" s="42">
        <v>120</v>
      </c>
      <c r="O28" s="42">
        <f>P28+Q28</f>
        <v>180</v>
      </c>
      <c r="P28" s="42">
        <v>126</v>
      </c>
      <c r="Q28" s="42">
        <v>54</v>
      </c>
      <c r="R28" s="42"/>
      <c r="S28" s="42"/>
      <c r="T28" s="42"/>
      <c r="U28" s="42"/>
      <c r="V28" s="42"/>
      <c r="W28" s="42"/>
      <c r="X28" s="42"/>
      <c r="Y28" s="42"/>
      <c r="Z28" s="42"/>
      <c r="AA28" s="42"/>
      <c r="AB28" s="42"/>
      <c r="AC28" s="42"/>
      <c r="AD28" s="42"/>
      <c r="AE28" s="42"/>
      <c r="AF28" s="42"/>
      <c r="AG28" s="60"/>
      <c r="AH28" s="75">
        <f t="shared" si="17"/>
        <v>300</v>
      </c>
    </row>
    <row r="29" spans="1:35" s="31" customFormat="1" ht="63" x14ac:dyDescent="0.25">
      <c r="A29" s="8">
        <v>4</v>
      </c>
      <c r="B29" s="17" t="s">
        <v>99</v>
      </c>
      <c r="C29" s="42"/>
      <c r="D29" s="42"/>
      <c r="E29" s="42"/>
      <c r="F29" s="42"/>
      <c r="G29" s="42"/>
      <c r="H29" s="42"/>
      <c r="I29" s="42"/>
      <c r="J29" s="42"/>
      <c r="K29" s="42"/>
      <c r="L29" s="42"/>
      <c r="M29" s="58"/>
      <c r="N29" s="58"/>
      <c r="O29" s="58"/>
      <c r="P29" s="58"/>
      <c r="Q29" s="58"/>
      <c r="R29" s="42"/>
      <c r="S29" s="42"/>
      <c r="T29" s="42"/>
      <c r="U29" s="42"/>
      <c r="V29" s="42"/>
      <c r="W29" s="42">
        <f>X29+Y29</f>
        <v>200</v>
      </c>
      <c r="X29" s="42">
        <v>80</v>
      </c>
      <c r="Y29" s="42">
        <f>Z29+AA29</f>
        <v>120</v>
      </c>
      <c r="Z29" s="42">
        <v>80</v>
      </c>
      <c r="AA29" s="42">
        <v>40</v>
      </c>
      <c r="AB29" s="42"/>
      <c r="AC29" s="42"/>
      <c r="AD29" s="42"/>
      <c r="AE29" s="42"/>
      <c r="AF29" s="42"/>
      <c r="AG29" s="60"/>
      <c r="AH29" s="75">
        <f t="shared" si="17"/>
        <v>200</v>
      </c>
    </row>
    <row r="30" spans="1:35" s="32" customFormat="1" ht="47.25" customHeight="1" x14ac:dyDescent="0.25">
      <c r="A30" s="5" t="s">
        <v>16</v>
      </c>
      <c r="B30" s="16" t="s">
        <v>45</v>
      </c>
      <c r="C30" s="56">
        <f>C31</f>
        <v>20</v>
      </c>
      <c r="D30" s="56">
        <f t="shared" ref="D30:AF30" si="18">D31</f>
        <v>8</v>
      </c>
      <c r="E30" s="56">
        <f t="shared" si="18"/>
        <v>12</v>
      </c>
      <c r="F30" s="56">
        <f t="shared" si="18"/>
        <v>8</v>
      </c>
      <c r="G30" s="56">
        <f t="shared" si="18"/>
        <v>4</v>
      </c>
      <c r="H30" s="56">
        <f t="shared" si="18"/>
        <v>0</v>
      </c>
      <c r="I30" s="56">
        <f t="shared" si="18"/>
        <v>0</v>
      </c>
      <c r="J30" s="56">
        <f t="shared" si="18"/>
        <v>0</v>
      </c>
      <c r="K30" s="56">
        <f t="shared" si="18"/>
        <v>0</v>
      </c>
      <c r="L30" s="56">
        <f t="shared" si="18"/>
        <v>0</v>
      </c>
      <c r="M30" s="56">
        <f t="shared" si="18"/>
        <v>30</v>
      </c>
      <c r="N30" s="56">
        <f t="shared" si="18"/>
        <v>12</v>
      </c>
      <c r="O30" s="56">
        <f t="shared" si="18"/>
        <v>18</v>
      </c>
      <c r="P30" s="56">
        <f t="shared" si="18"/>
        <v>12</v>
      </c>
      <c r="Q30" s="56">
        <f t="shared" si="18"/>
        <v>6</v>
      </c>
      <c r="R30" s="56">
        <f t="shared" si="18"/>
        <v>0</v>
      </c>
      <c r="S30" s="56">
        <f t="shared" si="18"/>
        <v>0</v>
      </c>
      <c r="T30" s="56">
        <f t="shared" si="18"/>
        <v>0</v>
      </c>
      <c r="U30" s="56">
        <f t="shared" si="18"/>
        <v>0</v>
      </c>
      <c r="V30" s="56">
        <f t="shared" si="18"/>
        <v>0</v>
      </c>
      <c r="W30" s="56">
        <f t="shared" si="18"/>
        <v>25</v>
      </c>
      <c r="X30" s="56">
        <f t="shared" si="18"/>
        <v>10</v>
      </c>
      <c r="Y30" s="56">
        <f t="shared" si="18"/>
        <v>15</v>
      </c>
      <c r="Z30" s="56">
        <f t="shared" si="18"/>
        <v>10</v>
      </c>
      <c r="AA30" s="56">
        <f t="shared" si="18"/>
        <v>5</v>
      </c>
      <c r="AB30" s="56">
        <f t="shared" si="18"/>
        <v>0</v>
      </c>
      <c r="AC30" s="56">
        <f t="shared" si="18"/>
        <v>0</v>
      </c>
      <c r="AD30" s="56">
        <f t="shared" si="18"/>
        <v>0</v>
      </c>
      <c r="AE30" s="56">
        <f t="shared" si="18"/>
        <v>0</v>
      </c>
      <c r="AF30" s="56">
        <f t="shared" si="18"/>
        <v>0</v>
      </c>
      <c r="AG30" s="59"/>
      <c r="AH30" s="75">
        <f t="shared" si="2"/>
        <v>75</v>
      </c>
    </row>
    <row r="31" spans="1:35" s="3" customFormat="1" ht="63" x14ac:dyDescent="0.25">
      <c r="A31" s="8">
        <v>1</v>
      </c>
      <c r="B31" s="17" t="s">
        <v>54</v>
      </c>
      <c r="C31" s="42">
        <f t="shared" si="15"/>
        <v>20</v>
      </c>
      <c r="D31" s="42">
        <v>8</v>
      </c>
      <c r="E31" s="42">
        <v>12</v>
      </c>
      <c r="F31" s="42">
        <v>8</v>
      </c>
      <c r="G31" s="42">
        <v>4</v>
      </c>
      <c r="H31" s="42"/>
      <c r="I31" s="42"/>
      <c r="J31" s="42"/>
      <c r="K31" s="42"/>
      <c r="L31" s="42"/>
      <c r="M31" s="42">
        <f>N31+O31</f>
        <v>30</v>
      </c>
      <c r="N31" s="42">
        <v>12</v>
      </c>
      <c r="O31" s="42">
        <v>18</v>
      </c>
      <c r="P31" s="42">
        <v>12</v>
      </c>
      <c r="Q31" s="42">
        <v>6</v>
      </c>
      <c r="R31" s="42"/>
      <c r="S31" s="42"/>
      <c r="T31" s="42"/>
      <c r="U31" s="42"/>
      <c r="V31" s="42"/>
      <c r="W31" s="42">
        <f>X31+Y31</f>
        <v>25</v>
      </c>
      <c r="X31" s="42">
        <v>10</v>
      </c>
      <c r="Y31" s="42">
        <v>15</v>
      </c>
      <c r="Z31" s="42">
        <v>10</v>
      </c>
      <c r="AA31" s="42">
        <v>5</v>
      </c>
      <c r="AB31" s="42"/>
      <c r="AC31" s="42"/>
      <c r="AD31" s="42"/>
      <c r="AE31" s="42"/>
      <c r="AF31" s="42"/>
      <c r="AG31" s="59"/>
      <c r="AH31" s="75">
        <f t="shared" si="2"/>
        <v>75</v>
      </c>
    </row>
    <row r="32" spans="1:35" s="33" customFormat="1" ht="33" x14ac:dyDescent="0.25">
      <c r="A32" s="5" t="s">
        <v>88</v>
      </c>
      <c r="B32" s="47" t="s">
        <v>89</v>
      </c>
      <c r="C32" s="42"/>
      <c r="D32" s="63"/>
      <c r="E32" s="63"/>
      <c r="F32" s="63"/>
      <c r="G32" s="63"/>
      <c r="H32" s="63"/>
      <c r="I32" s="63"/>
      <c r="J32" s="63"/>
      <c r="K32" s="63"/>
      <c r="L32" s="63"/>
      <c r="M32" s="64">
        <f>N32+O32</f>
        <v>3.8519999999998618</v>
      </c>
      <c r="N32" s="65">
        <v>1.5407999999999449</v>
      </c>
      <c r="O32" s="65">
        <v>2.3111999999999169</v>
      </c>
      <c r="P32" s="65">
        <v>1.5407999999999447</v>
      </c>
      <c r="Q32" s="65">
        <v>0.77039999999997233</v>
      </c>
      <c r="R32" s="63"/>
      <c r="S32" s="63"/>
      <c r="T32" s="63"/>
      <c r="U32" s="63"/>
      <c r="V32" s="63"/>
      <c r="W32" s="63"/>
      <c r="X32" s="63"/>
      <c r="Y32" s="63"/>
      <c r="Z32" s="63"/>
      <c r="AA32" s="63"/>
      <c r="AB32" s="63"/>
      <c r="AC32" s="63"/>
      <c r="AD32" s="63"/>
      <c r="AE32" s="63"/>
      <c r="AF32" s="63"/>
      <c r="AG32" s="59"/>
      <c r="AH32" s="75">
        <f t="shared" si="2"/>
        <v>3.8519999999998618</v>
      </c>
    </row>
    <row r="33" spans="1:34" x14ac:dyDescent="0.25">
      <c r="A33" s="49" t="s">
        <v>90</v>
      </c>
      <c r="B33" s="50" t="s">
        <v>91</v>
      </c>
      <c r="C33" s="66">
        <f t="shared" ref="C33:W33" si="19">SUM(C34:C42)</f>
        <v>0</v>
      </c>
      <c r="D33" s="66">
        <f t="shared" si="19"/>
        <v>0</v>
      </c>
      <c r="E33" s="66">
        <f t="shared" si="19"/>
        <v>0</v>
      </c>
      <c r="F33" s="66">
        <f t="shared" si="19"/>
        <v>0</v>
      </c>
      <c r="G33" s="66">
        <f t="shared" si="19"/>
        <v>0</v>
      </c>
      <c r="H33" s="66">
        <f t="shared" si="19"/>
        <v>0</v>
      </c>
      <c r="I33" s="66">
        <f t="shared" si="19"/>
        <v>0</v>
      </c>
      <c r="J33" s="66">
        <f t="shared" si="19"/>
        <v>0</v>
      </c>
      <c r="K33" s="66">
        <f t="shared" si="19"/>
        <v>0</v>
      </c>
      <c r="L33" s="66">
        <f t="shared" si="19"/>
        <v>0</v>
      </c>
      <c r="M33" s="67">
        <f t="shared" si="19"/>
        <v>11.901549999999588</v>
      </c>
      <c r="N33" s="67">
        <f t="shared" si="19"/>
        <v>0</v>
      </c>
      <c r="O33" s="67">
        <f t="shared" si="19"/>
        <v>0</v>
      </c>
      <c r="P33" s="67">
        <f t="shared" si="19"/>
        <v>0</v>
      </c>
      <c r="Q33" s="67">
        <f t="shared" si="19"/>
        <v>0</v>
      </c>
      <c r="R33" s="67">
        <f t="shared" si="19"/>
        <v>11.901549999999588</v>
      </c>
      <c r="S33" s="67">
        <f t="shared" si="19"/>
        <v>0</v>
      </c>
      <c r="T33" s="67">
        <f t="shared" si="19"/>
        <v>0</v>
      </c>
      <c r="U33" s="67">
        <f t="shared" si="19"/>
        <v>0</v>
      </c>
      <c r="V33" s="67">
        <f t="shared" si="19"/>
        <v>0</v>
      </c>
      <c r="W33" s="67">
        <f t="shared" si="19"/>
        <v>13074</v>
      </c>
      <c r="X33" s="67">
        <f>SUM(X34:X42)</f>
        <v>13074</v>
      </c>
      <c r="Y33" s="67">
        <f t="shared" ref="Y33:AF33" si="20">SUM(Y34:Y42)</f>
        <v>0</v>
      </c>
      <c r="Z33" s="67">
        <f t="shared" si="20"/>
        <v>0</v>
      </c>
      <c r="AA33" s="67">
        <f t="shared" si="20"/>
        <v>0</v>
      </c>
      <c r="AB33" s="67">
        <f t="shared" si="20"/>
        <v>12416.583999999999</v>
      </c>
      <c r="AC33" s="68">
        <f t="shared" si="20"/>
        <v>12416.583999999999</v>
      </c>
      <c r="AD33" s="67">
        <f t="shared" si="20"/>
        <v>0</v>
      </c>
      <c r="AE33" s="67">
        <f t="shared" si="20"/>
        <v>0</v>
      </c>
      <c r="AF33" s="67">
        <f t="shared" si="20"/>
        <v>0</v>
      </c>
      <c r="AG33" s="69"/>
      <c r="AH33" s="75">
        <f t="shared" si="2"/>
        <v>13085.901549999999</v>
      </c>
    </row>
    <row r="34" spans="1:34" x14ac:dyDescent="0.25">
      <c r="A34" s="48">
        <v>1</v>
      </c>
      <c r="B34" s="55" t="s">
        <v>92</v>
      </c>
      <c r="C34" s="66"/>
      <c r="D34" s="66"/>
      <c r="E34" s="66"/>
      <c r="F34" s="66"/>
      <c r="G34" s="66"/>
      <c r="H34" s="66"/>
      <c r="I34" s="66"/>
      <c r="J34" s="66"/>
      <c r="K34" s="66"/>
      <c r="L34" s="66"/>
      <c r="M34" s="66">
        <v>7.1149999999997817</v>
      </c>
      <c r="N34" s="66"/>
      <c r="O34" s="66"/>
      <c r="P34" s="66"/>
      <c r="Q34" s="66"/>
      <c r="R34" s="66">
        <v>7.1149999999997817</v>
      </c>
      <c r="S34" s="66"/>
      <c r="T34" s="66"/>
      <c r="U34" s="66"/>
      <c r="V34" s="66"/>
      <c r="W34" s="66"/>
      <c r="X34" s="66"/>
      <c r="Y34" s="66"/>
      <c r="Z34" s="66"/>
      <c r="AA34" s="66"/>
      <c r="AB34" s="66"/>
      <c r="AC34" s="66"/>
      <c r="AD34" s="66"/>
      <c r="AE34" s="66"/>
      <c r="AF34" s="66"/>
      <c r="AG34" s="70"/>
      <c r="AH34" s="75">
        <f t="shared" si="2"/>
        <v>7.1149999999997817</v>
      </c>
    </row>
    <row r="35" spans="1:34" x14ac:dyDescent="0.25">
      <c r="A35" s="48">
        <v>2</v>
      </c>
      <c r="B35" s="55" t="s">
        <v>93</v>
      </c>
      <c r="C35" s="66"/>
      <c r="D35" s="66"/>
      <c r="E35" s="66"/>
      <c r="F35" s="66"/>
      <c r="G35" s="66"/>
      <c r="H35" s="66"/>
      <c r="I35" s="66"/>
      <c r="J35" s="66"/>
      <c r="K35" s="66"/>
      <c r="L35" s="66"/>
      <c r="M35" s="66">
        <v>4.7865499999998065</v>
      </c>
      <c r="N35" s="66"/>
      <c r="O35" s="66"/>
      <c r="P35" s="66"/>
      <c r="Q35" s="66"/>
      <c r="R35" s="66">
        <v>4.7865499999998065</v>
      </c>
      <c r="S35" s="66"/>
      <c r="T35" s="66"/>
      <c r="U35" s="66"/>
      <c r="V35" s="66"/>
      <c r="W35" s="66"/>
      <c r="X35" s="66"/>
      <c r="Y35" s="66"/>
      <c r="Z35" s="66"/>
      <c r="AA35" s="66"/>
      <c r="AB35" s="66"/>
      <c r="AC35" s="66"/>
      <c r="AD35" s="66"/>
      <c r="AE35" s="66"/>
      <c r="AF35" s="66"/>
      <c r="AG35" s="70"/>
      <c r="AH35" s="75">
        <f t="shared" si="2"/>
        <v>4.7865499999998065</v>
      </c>
    </row>
    <row r="36" spans="1:34" ht="18.75" x14ac:dyDescent="0.25">
      <c r="A36" s="48">
        <v>3</v>
      </c>
      <c r="B36" s="51" t="s">
        <v>92</v>
      </c>
      <c r="C36" s="66"/>
      <c r="D36" s="66"/>
      <c r="E36" s="66"/>
      <c r="F36" s="66"/>
      <c r="G36" s="66"/>
      <c r="H36" s="66"/>
      <c r="I36" s="66"/>
      <c r="J36" s="66"/>
      <c r="K36" s="66"/>
      <c r="L36" s="66"/>
      <c r="M36" s="66"/>
      <c r="N36" s="66"/>
      <c r="O36" s="66"/>
      <c r="P36" s="66"/>
      <c r="Q36" s="66"/>
      <c r="R36" s="66"/>
      <c r="S36" s="66"/>
      <c r="T36" s="66"/>
      <c r="U36" s="66"/>
      <c r="V36" s="66"/>
      <c r="W36" s="66">
        <f>X36</f>
        <v>4800</v>
      </c>
      <c r="X36" s="66">
        <v>4800</v>
      </c>
      <c r="Y36" s="66"/>
      <c r="Z36" s="66"/>
      <c r="AA36" s="66"/>
      <c r="AB36" s="71">
        <f>AC36</f>
        <v>4796.7640000000001</v>
      </c>
      <c r="AC36" s="72">
        <v>4796.7640000000001</v>
      </c>
      <c r="AD36" s="66"/>
      <c r="AE36" s="66"/>
      <c r="AF36" s="66"/>
      <c r="AG36" s="70"/>
      <c r="AH36" s="75">
        <f t="shared" si="2"/>
        <v>4800</v>
      </c>
    </row>
    <row r="37" spans="1:34" ht="18.75" x14ac:dyDescent="0.25">
      <c r="A37" s="48">
        <v>4</v>
      </c>
      <c r="B37" s="51" t="s">
        <v>93</v>
      </c>
      <c r="C37" s="66"/>
      <c r="D37" s="66"/>
      <c r="E37" s="66"/>
      <c r="F37" s="66"/>
      <c r="G37" s="66"/>
      <c r="H37" s="66"/>
      <c r="I37" s="66"/>
      <c r="J37" s="66"/>
      <c r="K37" s="66"/>
      <c r="L37" s="66"/>
      <c r="M37" s="66"/>
      <c r="N37" s="66"/>
      <c r="O37" s="66"/>
      <c r="P37" s="66"/>
      <c r="Q37" s="66"/>
      <c r="R37" s="66"/>
      <c r="S37" s="66"/>
      <c r="T37" s="66"/>
      <c r="U37" s="66"/>
      <c r="V37" s="66"/>
      <c r="W37" s="66">
        <f t="shared" ref="W37:W42" si="21">X37</f>
        <v>3341</v>
      </c>
      <c r="X37" s="66">
        <v>3341</v>
      </c>
      <c r="Y37" s="66"/>
      <c r="Z37" s="66"/>
      <c r="AA37" s="66"/>
      <c r="AB37" s="71">
        <f t="shared" ref="AB37:AB42" si="22">AC37</f>
        <v>3330.2710000000002</v>
      </c>
      <c r="AC37" s="72">
        <v>3330.2710000000002</v>
      </c>
      <c r="AD37" s="66"/>
      <c r="AE37" s="66"/>
      <c r="AF37" s="66"/>
      <c r="AG37" s="70"/>
      <c r="AH37" s="75">
        <f t="shared" si="2"/>
        <v>3341</v>
      </c>
    </row>
    <row r="38" spans="1:34" ht="18.75" x14ac:dyDescent="0.25">
      <c r="A38" s="48">
        <v>5</v>
      </c>
      <c r="B38" s="51" t="s">
        <v>94</v>
      </c>
      <c r="C38" s="66"/>
      <c r="D38" s="66"/>
      <c r="E38" s="66"/>
      <c r="F38" s="66"/>
      <c r="G38" s="66"/>
      <c r="H38" s="66"/>
      <c r="I38" s="66"/>
      <c r="J38" s="66"/>
      <c r="K38" s="66"/>
      <c r="L38" s="66"/>
      <c r="M38" s="66"/>
      <c r="N38" s="66"/>
      <c r="O38" s="66"/>
      <c r="P38" s="66"/>
      <c r="Q38" s="66"/>
      <c r="R38" s="66"/>
      <c r="S38" s="66"/>
      <c r="T38" s="66"/>
      <c r="U38" s="66"/>
      <c r="V38" s="66"/>
      <c r="W38" s="66">
        <f t="shared" si="21"/>
        <v>2894</v>
      </c>
      <c r="X38" s="66">
        <v>2894</v>
      </c>
      <c r="Y38" s="66"/>
      <c r="Z38" s="66"/>
      <c r="AA38" s="66"/>
      <c r="AB38" s="71">
        <f t="shared" si="22"/>
        <v>2892.366</v>
      </c>
      <c r="AC38" s="72">
        <v>2892.366</v>
      </c>
      <c r="AD38" s="66"/>
      <c r="AE38" s="66"/>
      <c r="AF38" s="66"/>
      <c r="AG38" s="70"/>
      <c r="AH38" s="75">
        <f t="shared" si="2"/>
        <v>2894</v>
      </c>
    </row>
    <row r="39" spans="1:34" ht="18.75" x14ac:dyDescent="0.25">
      <c r="A39" s="48">
        <v>6</v>
      </c>
      <c r="B39" s="52" t="s">
        <v>95</v>
      </c>
      <c r="C39" s="66"/>
      <c r="D39" s="66"/>
      <c r="E39" s="66"/>
      <c r="F39" s="66"/>
      <c r="G39" s="66"/>
      <c r="H39" s="66"/>
      <c r="I39" s="66"/>
      <c r="J39" s="66"/>
      <c r="K39" s="66"/>
      <c r="L39" s="66"/>
      <c r="M39" s="66"/>
      <c r="N39" s="66"/>
      <c r="O39" s="66"/>
      <c r="P39" s="66"/>
      <c r="Q39" s="66"/>
      <c r="R39" s="66"/>
      <c r="S39" s="66"/>
      <c r="T39" s="66"/>
      <c r="U39" s="66"/>
      <c r="V39" s="66"/>
      <c r="W39" s="66">
        <f t="shared" si="21"/>
        <v>500</v>
      </c>
      <c r="X39" s="66">
        <v>500</v>
      </c>
      <c r="Y39" s="66"/>
      <c r="Z39" s="66"/>
      <c r="AA39" s="66"/>
      <c r="AB39" s="71">
        <f t="shared" si="22"/>
        <v>500</v>
      </c>
      <c r="AC39" s="72">
        <v>500</v>
      </c>
      <c r="AD39" s="66"/>
      <c r="AE39" s="66"/>
      <c r="AF39" s="66"/>
      <c r="AG39" s="70"/>
      <c r="AH39" s="75">
        <f t="shared" si="2"/>
        <v>500</v>
      </c>
    </row>
    <row r="40" spans="1:34" ht="18.75" x14ac:dyDescent="0.25">
      <c r="A40" s="48">
        <v>7</v>
      </c>
      <c r="B40" s="53" t="s">
        <v>96</v>
      </c>
      <c r="C40" s="66"/>
      <c r="D40" s="66"/>
      <c r="E40" s="66"/>
      <c r="F40" s="66"/>
      <c r="G40" s="66"/>
      <c r="H40" s="66"/>
      <c r="I40" s="66"/>
      <c r="J40" s="66"/>
      <c r="K40" s="66"/>
      <c r="L40" s="66"/>
      <c r="M40" s="66"/>
      <c r="N40" s="66"/>
      <c r="O40" s="66"/>
      <c r="P40" s="66"/>
      <c r="Q40" s="66"/>
      <c r="R40" s="66"/>
      <c r="S40" s="66"/>
      <c r="T40" s="66"/>
      <c r="U40" s="66"/>
      <c r="V40" s="66"/>
      <c r="W40" s="66">
        <f t="shared" si="21"/>
        <v>539</v>
      </c>
      <c r="X40" s="66">
        <v>539</v>
      </c>
      <c r="Y40" s="66"/>
      <c r="Z40" s="66"/>
      <c r="AA40" s="66"/>
      <c r="AB40" s="71">
        <f t="shared" si="22"/>
        <v>313.12400000000002</v>
      </c>
      <c r="AC40" s="72">
        <v>313.12400000000002</v>
      </c>
      <c r="AD40" s="66"/>
      <c r="AE40" s="66"/>
      <c r="AF40" s="66"/>
      <c r="AG40" s="70"/>
      <c r="AH40" s="75">
        <f t="shared" si="2"/>
        <v>539</v>
      </c>
    </row>
    <row r="41" spans="1:34" ht="18.75" x14ac:dyDescent="0.25">
      <c r="A41" s="48">
        <v>8</v>
      </c>
      <c r="B41" s="54" t="s">
        <v>97</v>
      </c>
      <c r="C41" s="66"/>
      <c r="D41" s="66"/>
      <c r="E41" s="66"/>
      <c r="F41" s="66"/>
      <c r="G41" s="66"/>
      <c r="H41" s="66"/>
      <c r="I41" s="66"/>
      <c r="J41" s="66"/>
      <c r="K41" s="66"/>
      <c r="L41" s="66"/>
      <c r="M41" s="66"/>
      <c r="N41" s="66"/>
      <c r="O41" s="66"/>
      <c r="P41" s="66"/>
      <c r="Q41" s="66"/>
      <c r="R41" s="66"/>
      <c r="S41" s="66"/>
      <c r="T41" s="66"/>
      <c r="U41" s="66"/>
      <c r="V41" s="66"/>
      <c r="W41" s="66">
        <f t="shared" si="21"/>
        <v>500</v>
      </c>
      <c r="X41" s="66">
        <v>500</v>
      </c>
      <c r="Y41" s="66"/>
      <c r="Z41" s="66"/>
      <c r="AA41" s="66"/>
      <c r="AB41" s="71">
        <f t="shared" si="22"/>
        <v>84.058999999999997</v>
      </c>
      <c r="AC41" s="72">
        <v>84.058999999999997</v>
      </c>
      <c r="AD41" s="66"/>
      <c r="AE41" s="66"/>
      <c r="AF41" s="66"/>
      <c r="AG41" s="70"/>
      <c r="AH41" s="75">
        <f t="shared" si="2"/>
        <v>500</v>
      </c>
    </row>
    <row r="42" spans="1:34" ht="18.75" x14ac:dyDescent="0.25">
      <c r="A42" s="48">
        <v>9</v>
      </c>
      <c r="B42" s="54" t="s">
        <v>98</v>
      </c>
      <c r="C42" s="66"/>
      <c r="D42" s="66"/>
      <c r="E42" s="66"/>
      <c r="F42" s="66"/>
      <c r="G42" s="66"/>
      <c r="H42" s="66"/>
      <c r="I42" s="66"/>
      <c r="J42" s="66"/>
      <c r="K42" s="66"/>
      <c r="L42" s="66"/>
      <c r="M42" s="66"/>
      <c r="N42" s="66"/>
      <c r="O42" s="66"/>
      <c r="P42" s="66"/>
      <c r="Q42" s="66"/>
      <c r="R42" s="66"/>
      <c r="S42" s="66"/>
      <c r="T42" s="66"/>
      <c r="U42" s="66"/>
      <c r="V42" s="66"/>
      <c r="W42" s="66">
        <f t="shared" si="21"/>
        <v>500</v>
      </c>
      <c r="X42" s="66">
        <v>500</v>
      </c>
      <c r="Y42" s="66"/>
      <c r="Z42" s="66"/>
      <c r="AA42" s="66"/>
      <c r="AB42" s="71">
        <f t="shared" si="22"/>
        <v>500</v>
      </c>
      <c r="AC42" s="72">
        <v>500</v>
      </c>
      <c r="AD42" s="66"/>
      <c r="AE42" s="66"/>
      <c r="AF42" s="66"/>
      <c r="AG42" s="70"/>
      <c r="AH42" s="75">
        <f t="shared" si="2"/>
        <v>500</v>
      </c>
    </row>
  </sheetData>
  <mergeCells count="37">
    <mergeCell ref="A1:AG1"/>
    <mergeCell ref="A2:AG2"/>
    <mergeCell ref="A3:AG3"/>
    <mergeCell ref="C4:AG4"/>
    <mergeCell ref="A5:A7"/>
    <mergeCell ref="B5:B7"/>
    <mergeCell ref="C5:G5"/>
    <mergeCell ref="H5:L5"/>
    <mergeCell ref="M5:Q5"/>
    <mergeCell ref="R5:V5"/>
    <mergeCell ref="W5:AA5"/>
    <mergeCell ref="AB5:AF5"/>
    <mergeCell ref="AG5:AG7"/>
    <mergeCell ref="C6:C7"/>
    <mergeCell ref="D6:D7"/>
    <mergeCell ref="E6:E7"/>
    <mergeCell ref="F6:G6"/>
    <mergeCell ref="H6:H7"/>
    <mergeCell ref="I6:I7"/>
    <mergeCell ref="J6:J7"/>
    <mergeCell ref="Y6:Y7"/>
    <mergeCell ref="K6:L6"/>
    <mergeCell ref="M6:M7"/>
    <mergeCell ref="N6:N7"/>
    <mergeCell ref="O6:O7"/>
    <mergeCell ref="P6:Q6"/>
    <mergeCell ref="R6:R7"/>
    <mergeCell ref="S6:S7"/>
    <mergeCell ref="T6:T7"/>
    <mergeCell ref="U6:V6"/>
    <mergeCell ref="W6:W7"/>
    <mergeCell ref="X6:X7"/>
    <mergeCell ref="Z6:AA6"/>
    <mergeCell ref="AB6:AB7"/>
    <mergeCell ref="AC6:AC7"/>
    <mergeCell ref="AD6:AD7"/>
    <mergeCell ref="AE6:A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PL1.DTTS</vt:lpstr>
      <vt:lpstr>PL 2 GNBV</vt:lpstr>
      <vt:lpstr>PL 3 NTM</vt:lpstr>
      <vt:lpstr>Tong hop chung </vt:lpstr>
      <vt:lpstr>Sheet1</vt:lpstr>
      <vt:lpstr>'PL 2 GNBV'!Print_Area</vt:lpstr>
      <vt:lpstr>'PL 3 NTM'!Print_Area</vt:lpstr>
      <vt:lpstr>PL1.DTTS!Print_Area</vt:lpstr>
      <vt:lpstr>'PL 2 GNBV'!Print_Titles</vt:lpstr>
      <vt:lpstr>'PL 3 NTM'!Print_Titles</vt:lpstr>
      <vt:lpstr>PL1.DTTS!Print_Titles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Hung Pham</dc:creator>
  <cp:lastModifiedBy>andongnhi</cp:lastModifiedBy>
  <cp:lastPrinted>2024-12-25T08:27:47Z</cp:lastPrinted>
  <dcterms:created xsi:type="dcterms:W3CDTF">2016-07-30T08:15:30Z</dcterms:created>
  <dcterms:modified xsi:type="dcterms:W3CDTF">2024-12-25T09:38:24Z</dcterms:modified>
</cp:coreProperties>
</file>